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1.13\共有フォルダ\10_総務部\20_企画財政課\10_企画調整係\00_フォルダ再編\40_統計\03 統計要覧\R6\"/>
    </mc:Choice>
  </mc:AlternateContent>
  <xr:revisionPtr revIDLastSave="0" documentId="13_ncr:1_{20A4036F-F142-4707-9F23-7D1491D9E115}" xr6:coauthVersionLast="47" xr6:coauthVersionMax="47" xr10:uidLastSave="{00000000-0000-0000-0000-000000000000}"/>
  <bookViews>
    <workbookView xWindow="-19320" yWindow="855" windowWidth="19440" windowHeight="15000" xr2:uid="{00000000-000D-0000-FFFF-FFFF00000000}"/>
  </bookViews>
  <sheets>
    <sheet name="01表紙" sheetId="1" r:id="rId1"/>
    <sheet name="02目次" sheetId="97" r:id="rId2"/>
    <sheet name="04シンボルマーク" sheetId="92" r:id="rId3"/>
    <sheet name="05利用者のために" sheetId="93" r:id="rId4"/>
    <sheet name="07沿革" sheetId="94" r:id="rId5"/>
    <sheet name="08明治以降の合併系図" sheetId="95" r:id="rId6"/>
    <sheet name="10位置と面積" sheetId="2" r:id="rId7"/>
    <sheet name="11地目別面積" sheetId="3" r:id="rId8"/>
    <sheet name="12年次別気象概況" sheetId="5" r:id="rId9"/>
    <sheet name="13降雪積雪量" sheetId="6" r:id="rId10"/>
    <sheet name="14人口の推移" sheetId="8" r:id="rId11"/>
    <sheet name="16年齢３区分別人口の推移" sheetId="9" r:id="rId12"/>
    <sheet name="17地区別人口の推移" sheetId="10" r:id="rId13"/>
    <sheet name="18人口動態" sheetId="11" r:id="rId14"/>
    <sheet name="19出生率の推移" sheetId="12" r:id="rId15"/>
    <sheet name="20年齢（５歳階級）別人口構成" sheetId="13" r:id="rId16"/>
    <sheet name="21国籍別外国人登録者数" sheetId="15" r:id="rId17"/>
    <sheet name="22人口集中地区別人口・面積・人口密度ＤＩＤｓ" sheetId="16" r:id="rId18"/>
    <sheet name="23１５歳以上男女別労働力人口" sheetId="17" r:id="rId19"/>
    <sheet name="24産業分類別就業者数" sheetId="18" r:id="rId20"/>
    <sheet name="25産業別従業上の地位・男女別１５歳以上就業者数" sheetId="19" r:id="rId21"/>
    <sheet name="26職業分類別就業者数" sheetId="20" r:id="rId22"/>
    <sheet name="27世帯人員別一般世帯数及び一般世帯人員" sheetId="21" r:id="rId23"/>
    <sheet name="28世帯の家族類型別一般世帯数・一般世帯人員及び親族人員" sheetId="22" r:id="rId24"/>
    <sheet name="29高齢者の年齢（５区分）、男女別高齢単身者数" sheetId="23" r:id="rId25"/>
    <sheet name="30住居の種類・所有の関係別６５歳以上のいる一般世帯数・人員" sheetId="24" r:id="rId26"/>
    <sheet name="31常住人口・流入流出人口及び昼間人口" sheetId="25" r:id="rId27"/>
    <sheet name="32通勤者市町村別内訳（１５歳以上）" sheetId="27" r:id="rId28"/>
    <sheet name="33通学者市町村別内訳（１５歳以上）" sheetId="28" r:id="rId29"/>
    <sheet name="34議会の開催状況" sheetId="29" r:id="rId30"/>
    <sheet name="35市議会委員会の状況" sheetId="30" r:id="rId31"/>
    <sheet name="36市議会会派別議員数" sheetId="32" r:id="rId32"/>
    <sheet name="37年齢別議員数" sheetId="33" r:id="rId33"/>
    <sheet name="38選挙の執行状況" sheetId="34" r:id="rId34"/>
    <sheet name="39選挙人名簿登録者数等の推移" sheetId="35" r:id="rId35"/>
    <sheet name="40一般会計歳入歳出予算構成比" sheetId="98" r:id="rId36"/>
    <sheet name="41会計別決算の状況" sheetId="99" r:id="rId37"/>
    <sheet name="42市税の収入状況" sheetId="36" r:id="rId38"/>
    <sheet name="43歳入内容別決算状況" sheetId="100" r:id="rId39"/>
    <sheet name="44歳出内容別決算状況" sheetId="101" r:id="rId40"/>
    <sheet name="45目的別市債の状況" sheetId="102" r:id="rId41"/>
    <sheet name="46市税市民負担額の推移" sheetId="37" r:id="rId42"/>
    <sheet name="47地方交付税推移" sheetId="103" r:id="rId43"/>
    <sheet name="48市有財産" sheetId="104" r:id="rId44"/>
    <sheet name="49専業兼業別農家数と農家人口" sheetId="105" r:id="rId45"/>
    <sheet name="50販売農家における主副業別農家数" sheetId="106" r:id="rId46"/>
    <sheet name="52経営耕地面積の推移" sheetId="107" r:id="rId47"/>
    <sheet name="55販売農家における年齢別農家人口" sheetId="110" r:id="rId48"/>
    <sheet name="56販売農家における家畜の頭羽数" sheetId="111" r:id="rId49"/>
    <sheet name="58農地の移動状況" sheetId="113" r:id="rId50"/>
    <sheet name="59林野面積" sheetId="114" r:id="rId51"/>
    <sheet name="60事業所数・従業者数の推移" sheetId="115" r:id="rId52"/>
    <sheet name="61産業大分類別事業所数・産業大分類別従業者数" sheetId="116" r:id="rId53"/>
    <sheet name="62産業中分類別の製造品出荷額等の推移" sheetId="117" r:id="rId54"/>
    <sheet name="63年次別の工場数・従業者数・製造品出荷額等の推移" sheetId="118" r:id="rId55"/>
    <sheet name="65商業の推移" sheetId="119" r:id="rId56"/>
    <sheet name="66産業中分類別年間商品販売額の推移" sheetId="120" r:id="rId57"/>
    <sheet name="67学校総覧" sheetId="121" r:id="rId58"/>
    <sheet name="68幼稚園の状況" sheetId="38" r:id="rId59"/>
    <sheet name="69小学校の状況" sheetId="39" r:id="rId60"/>
    <sheet name="70中学校の状況・義務教育学校の状況" sheetId="40" r:id="rId61"/>
    <sheet name="71中学校進路別卒業者数" sheetId="41" r:id="rId62"/>
    <sheet name="72高等学校進路別卒業者" sheetId="42" r:id="rId63"/>
    <sheet name="73高等学校卒業者の職業分類別就職者数" sheetId="43" r:id="rId64"/>
    <sheet name="74高等学校卒業者の産業大分類別就職者数" sheetId="44" r:id="rId65"/>
    <sheet name="75高等学校卒業者の県内地区別就職者数" sheetId="46" r:id="rId66"/>
    <sheet name="79高等学校卒業者の都道府県別大学進学者数" sheetId="47" r:id="rId67"/>
    <sheet name="80奨学金貸与の状況" sheetId="122" r:id="rId68"/>
    <sheet name="81図書館貸出冊数の推移" sheetId="123" r:id="rId69"/>
    <sheet name="82図書館利用者数" sheetId="124" r:id="rId70"/>
    <sheet name="83図書館の蔵書と利用冊数" sheetId="125" r:id="rId71"/>
    <sheet name="84夏期大学講座の受講者数" sheetId="48" r:id="rId72"/>
    <sheet name="85山岳博物館の観覧状況" sheetId="49" r:id="rId73"/>
    <sheet name="86文化財" sheetId="50" r:id="rId74"/>
    <sheet name="87一般職業紹介の状況" sheetId="126" r:id="rId75"/>
    <sheet name="88雇用保険失業給付の支給状況" sheetId="127" r:id="rId76"/>
    <sheet name="89附属施設の利用状況" sheetId="128" r:id="rId77"/>
    <sheet name="90業種別・主な事故の型別労働災害発生状況" sheetId="51" r:id="rId78"/>
    <sheet name="91保育施設" sheetId="52" r:id="rId79"/>
    <sheet name="92保育園の入園児童の推移" sheetId="53" r:id="rId80"/>
    <sheet name="93市民課窓口事務の処理状況" sheetId="129" r:id="rId81"/>
    <sheet name="94国民健康保険被保険者数ほか" sheetId="55" r:id="rId82"/>
    <sheet name="95福祉医療費特別給付金支給状況" sheetId="56" r:id="rId83"/>
    <sheet name="96高齢者福祉の状況" sheetId="57" r:id="rId84"/>
    <sheet name="97福祉施設の利用状況" sheetId="58" r:id="rId85"/>
    <sheet name="98障がい別身体障がい者数の推移" sheetId="59" r:id="rId86"/>
    <sheet name="99知的障がい者数の推移" sheetId="60" r:id="rId87"/>
    <sheet name="100生活保護費の推移" sheetId="61" r:id="rId88"/>
    <sheet name="101共同募金の状況" sheetId="62" r:id="rId89"/>
    <sheet name="102医療施設数・医療従事者数の推移" sheetId="130" r:id="rId90"/>
    <sheet name="103主な死因別死亡者数の推移" sheetId="131" r:id="rId91"/>
    <sheet name="104市立大町総合病院の利用状況" sheetId="63" r:id="rId92"/>
    <sheet name="105予防接種・検診等の状況" sheetId="64" r:id="rId93"/>
    <sheet name="106ごみ処理の状況" sheetId="65" r:id="rId94"/>
    <sheet name="107し尿処理の状況" sheetId="66" r:id="rId95"/>
    <sheet name="108狂犬病予防法による犬の登録及び注射状況" sheetId="67" r:id="rId96"/>
    <sheet name="109公害苦情処理件数" sheetId="68" r:id="rId97"/>
    <sheet name="110北アルプス広域葬祭場の利用状況" sheetId="132" r:id="rId98"/>
    <sheet name="111主要道路" sheetId="133" r:id="rId99"/>
    <sheet name="112橋梁数" sheetId="134" r:id="rId100"/>
    <sheet name="113主要河川" sheetId="135" r:id="rId101"/>
    <sheet name="114都市計画区域" sheetId="69" r:id="rId102"/>
    <sheet name="115地域地区" sheetId="70" r:id="rId103"/>
    <sheet name="116都市計画用途地域" sheetId="136" r:id="rId104"/>
    <sheet name="117都市計画区域内の用途地域の指定のない区域" sheetId="71" r:id="rId105"/>
    <sheet name="118建築確認申請の状況" sheetId="137" r:id="rId106"/>
    <sheet name="119都市施設" sheetId="138" r:id="rId107"/>
    <sheet name="120水道事業普及状況・公営簡易水道事業普及状況" sheetId="139" r:id="rId108"/>
    <sheet name="121水道事業配水量の推移・公営簡易水道事業配水量の推移" sheetId="140" r:id="rId109"/>
    <sheet name="122水道事業用途別栓数と給水量" sheetId="141" r:id="rId110"/>
    <sheet name="123水道事業水源施設状況・公営簡易水道事業水源施設状況" sheetId="142" r:id="rId111"/>
    <sheet name="124都市ガスの需要状況" sheetId="143" r:id="rId112"/>
    <sheet name="126有線放送の利用状況" sheetId="72" r:id="rId113"/>
    <sheet name="127自動車の保有台数" sheetId="73" r:id="rId114"/>
    <sheet name="128金融機関の預金・貸出残高状況" sheetId="74" r:id="rId115"/>
    <sheet name="129消費者物価指数" sheetId="145" r:id="rId116"/>
    <sheet name="130制度資金の利用状況" sheetId="146" r:id="rId117"/>
    <sheet name="131一人当たりの市民所得" sheetId="147" r:id="rId118"/>
    <sheet name="132産業別市町村内総生産" sheetId="75" r:id="rId119"/>
    <sheet name="133市町村民所得・可処分所得の分配" sheetId="76" r:id="rId120"/>
    <sheet name="134消防施設と人員" sheetId="148" r:id="rId121"/>
    <sheet name="135救急出動及び搬送状況" sheetId="149" r:id="rId122"/>
    <sheet name="136出火原因別の出火件数" sheetId="150" r:id="rId123"/>
    <sheet name="137火災の発生件数・焼失面積と損害額等" sheetId="155" r:id="rId124"/>
    <sheet name="138山岳遭難事故の状況" sheetId="77" r:id="rId125"/>
    <sheet name="139交通違反" sheetId="78" r:id="rId126"/>
    <sheet name="140交通事故" sheetId="79" r:id="rId127"/>
    <sheet name="141刑法犯罪の発生件数と検挙件数" sheetId="80" r:id="rId128"/>
    <sheet name="142民事事件の推移" sheetId="81" r:id="rId129"/>
    <sheet name="143刑事事件の推移" sheetId="82" r:id="rId130"/>
    <sheet name="144家事事件の推移" sheetId="83" r:id="rId131"/>
    <sheet name="145観光客の入込数の推移" sheetId="151" r:id="rId132"/>
    <sheet name="146スキー場観光客の入込数の推移" sheetId="152" r:id="rId133"/>
    <sheet name="147観光地等の概要" sheetId="153" r:id="rId134"/>
    <sheet name="148北アルプスの紹介" sheetId="84" r:id="rId135"/>
    <sheet name="149大町の山岳標高一覧" sheetId="86" r:id="rId136"/>
    <sheet name="150大町市行政組織機構図" sheetId="89" r:id="rId137"/>
    <sheet name="151課等の事務分掌" sheetId="156" r:id="rId138"/>
    <sheet name="153体育施設" sheetId="90" r:id="rId139"/>
    <sheet name="155山岳文化都市宣言" sheetId="91" r:id="rId140"/>
  </sheets>
  <externalReferences>
    <externalReference r:id="rId141"/>
  </externalReferences>
  <definedNames>
    <definedName name="Data">[1]b003!#REF!</definedName>
    <definedName name="DataEnd">[1]b003!#REF!</definedName>
    <definedName name="HyousokuArea">[1]b003!#REF!</definedName>
    <definedName name="HyousokuEnd">[1]b003!#REF!</definedName>
    <definedName name="_xlnm.Print_Area" localSheetId="5">'08明治以降の合併系図'!$A$1:$N$98</definedName>
    <definedName name="_xlnm.Print_Area" localSheetId="135">'149大町の山岳標高一覧'!$A$1:$E$50</definedName>
    <definedName name="_xlnm.Print_Area" localSheetId="136">'150大町市行政組織機構図'!$A$1:$AC$143</definedName>
    <definedName name="_xlnm.Print_Area" localSheetId="138">'153体育施設'!$A$1:$I$43</definedName>
    <definedName name="_xlnm.Print_Area" localSheetId="12">'17地区別人口の推移'!$A:$AC</definedName>
    <definedName name="_xlnm.Print_Area" localSheetId="17">'22人口集中地区別人口・面積・人口密度ＤＩＤｓ'!$A$1:$I$37</definedName>
    <definedName name="_xlnm.Print_Area" localSheetId="43">'48市有財産'!$A$1:$N$18</definedName>
    <definedName name="_xlnm.Print_Titles" localSheetId="33">'38選挙の執行状況'!$1:$3</definedName>
    <definedName name="_xlnm.Print_Titles" localSheetId="37">'42市税の収入状況'!$A:$C</definedName>
    <definedName name="_xlnm.Print_Titles" localSheetId="61">'71中学校進路別卒業者数'!$1:$3</definedName>
    <definedName name="_xlnm.Print_Titles" localSheetId="62">'72高等学校進路別卒業者'!$1:$4</definedName>
    <definedName name="_xlnm.Print_Titles" localSheetId="63">'73高等学校卒業者の職業分類別就職者数'!$A:$C</definedName>
    <definedName name="TitleEnglish">[1]b003!#REF!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6" i="97" l="1"/>
  <c r="D6" i="147"/>
  <c r="D5" i="147"/>
  <c r="D4" i="147"/>
  <c r="B139" i="97"/>
  <c r="C4" i="110"/>
  <c r="E8" i="110" s="1"/>
  <c r="M24" i="105"/>
  <c r="H24" i="105"/>
  <c r="I24" i="105"/>
  <c r="J24" i="105"/>
  <c r="K24" i="105"/>
  <c r="L24" i="105"/>
  <c r="F24" i="105"/>
  <c r="J7" i="110"/>
  <c r="F7" i="110"/>
  <c r="L6" i="110"/>
  <c r="K6" i="110"/>
  <c r="J6" i="110"/>
  <c r="I6" i="110"/>
  <c r="H6" i="110"/>
  <c r="G6" i="110"/>
  <c r="F6" i="110"/>
  <c r="E6" i="110"/>
  <c r="L5" i="110"/>
  <c r="K5" i="110"/>
  <c r="J5" i="110"/>
  <c r="I5" i="110"/>
  <c r="H5" i="110"/>
  <c r="G5" i="110"/>
  <c r="F5" i="110"/>
  <c r="E5" i="110"/>
  <c r="C3" i="110"/>
  <c r="I7" i="110" s="1"/>
  <c r="L8" i="110" l="1"/>
  <c r="I8" i="110"/>
  <c r="C5" i="110"/>
  <c r="C6" i="110"/>
  <c r="G7" i="110"/>
  <c r="K7" i="110"/>
  <c r="F8" i="110"/>
  <c r="J8" i="110"/>
  <c r="C7" i="110"/>
  <c r="H7" i="110"/>
  <c r="L7" i="110"/>
  <c r="G8" i="110"/>
  <c r="K8" i="110"/>
  <c r="E7" i="110"/>
  <c r="C8" i="110"/>
  <c r="H8" i="110"/>
  <c r="D14" i="106" l="1"/>
  <c r="D11" i="106" s="1"/>
  <c r="D13" i="106"/>
  <c r="D12" i="106"/>
  <c r="J11" i="106"/>
  <c r="I11" i="106"/>
  <c r="H11" i="106"/>
  <c r="G11" i="106"/>
  <c r="F11" i="106"/>
  <c r="E11" i="106"/>
  <c r="D10" i="106"/>
  <c r="D9" i="106"/>
  <c r="D8" i="106"/>
  <c r="J7" i="106"/>
  <c r="I7" i="106"/>
  <c r="H7" i="106"/>
  <c r="G7" i="106"/>
  <c r="F7" i="106"/>
  <c r="E7" i="106"/>
  <c r="D7" i="106"/>
  <c r="D6" i="106"/>
  <c r="D5" i="106"/>
  <c r="D4" i="106"/>
  <c r="J3" i="106"/>
  <c r="I3" i="106"/>
  <c r="H3" i="106"/>
  <c r="G3" i="106"/>
  <c r="F3" i="106"/>
  <c r="E3" i="106"/>
  <c r="D3" i="106"/>
  <c r="F23" i="105"/>
  <c r="F22" i="105"/>
  <c r="F21" i="105"/>
  <c r="F20" i="105"/>
  <c r="F19" i="105"/>
  <c r="F18" i="105"/>
  <c r="M17" i="105"/>
  <c r="L17" i="105"/>
  <c r="K17" i="105"/>
  <c r="J17" i="105"/>
  <c r="I17" i="105"/>
  <c r="H17" i="105"/>
  <c r="F17" i="105" s="1"/>
  <c r="F16" i="105"/>
  <c r="F15" i="105"/>
  <c r="F14" i="105"/>
  <c r="F13" i="105"/>
  <c r="F12" i="105"/>
  <c r="F11" i="105"/>
  <c r="F10" i="105"/>
  <c r="F9" i="105"/>
  <c r="F8" i="105"/>
  <c r="F7" i="105"/>
  <c r="F6" i="105"/>
  <c r="F5" i="105"/>
  <c r="F4" i="105"/>
  <c r="F3" i="105"/>
  <c r="E5" i="100"/>
  <c r="G5" i="100"/>
  <c r="I5" i="100"/>
  <c r="K5" i="100"/>
  <c r="M5" i="100"/>
  <c r="E6" i="100"/>
  <c r="G6" i="100"/>
  <c r="I6" i="100"/>
  <c r="K6" i="100"/>
  <c r="M6" i="100"/>
  <c r="E7" i="100"/>
  <c r="G7" i="100"/>
  <c r="I7" i="100"/>
  <c r="K7" i="100"/>
  <c r="M7" i="100"/>
  <c r="E8" i="100"/>
  <c r="G8" i="100"/>
  <c r="I8" i="100"/>
  <c r="K8" i="100"/>
  <c r="M8" i="100"/>
  <c r="E9" i="100"/>
  <c r="G9" i="100"/>
  <c r="I9" i="100"/>
  <c r="K9" i="100"/>
  <c r="M9" i="100"/>
  <c r="E11" i="100"/>
  <c r="G11" i="100"/>
  <c r="I11" i="100"/>
  <c r="K11" i="100"/>
  <c r="M11" i="100"/>
  <c r="E12" i="100"/>
  <c r="G12" i="100"/>
  <c r="I12" i="100"/>
  <c r="K12" i="100"/>
  <c r="M12" i="100"/>
  <c r="E14" i="100"/>
  <c r="G14" i="100"/>
  <c r="I14" i="100"/>
  <c r="K14" i="100"/>
  <c r="M14" i="100"/>
  <c r="E15" i="100"/>
  <c r="G15" i="100"/>
  <c r="I15" i="100"/>
  <c r="K15" i="100"/>
  <c r="M15" i="100"/>
  <c r="E16" i="100"/>
  <c r="G16" i="100"/>
  <c r="I16" i="100"/>
  <c r="K16" i="100"/>
  <c r="M16" i="100"/>
  <c r="E17" i="100"/>
  <c r="G17" i="100"/>
  <c r="I17" i="100"/>
  <c r="K17" i="100"/>
  <c r="M17" i="100"/>
  <c r="E18" i="100"/>
  <c r="G18" i="100"/>
  <c r="I18" i="100"/>
  <c r="K18" i="100"/>
  <c r="M18" i="100"/>
  <c r="E19" i="100"/>
  <c r="G19" i="100"/>
  <c r="I19" i="100"/>
  <c r="K19" i="100"/>
  <c r="M19" i="100"/>
  <c r="E20" i="100"/>
  <c r="G20" i="100"/>
  <c r="I20" i="100"/>
  <c r="K20" i="100"/>
  <c r="M20" i="100"/>
  <c r="E21" i="100"/>
  <c r="G21" i="100"/>
  <c r="I21" i="100"/>
  <c r="K21" i="100"/>
  <c r="M21" i="100"/>
  <c r="E22" i="100"/>
  <c r="G22" i="100"/>
  <c r="I22" i="100"/>
  <c r="K22" i="100"/>
  <c r="M22" i="100"/>
  <c r="E23" i="100"/>
  <c r="G23" i="100"/>
  <c r="I23" i="100"/>
  <c r="K23" i="100"/>
  <c r="M23" i="100"/>
  <c r="E24" i="100"/>
  <c r="G24" i="100"/>
  <c r="I24" i="100"/>
  <c r="K24" i="100"/>
  <c r="M24" i="100"/>
  <c r="E25" i="100"/>
  <c r="G25" i="100"/>
  <c r="I25" i="100"/>
  <c r="K25" i="100"/>
  <c r="M25" i="100"/>
  <c r="E26" i="100"/>
  <c r="G26" i="100"/>
  <c r="I26" i="100"/>
  <c r="K26" i="100"/>
  <c r="M26" i="100"/>
  <c r="E27" i="100"/>
  <c r="G27" i="100"/>
  <c r="I27" i="100"/>
  <c r="K27" i="100"/>
  <c r="M27" i="100"/>
  <c r="B28" i="100"/>
  <c r="D28" i="100"/>
  <c r="E28" i="100"/>
  <c r="F28" i="100"/>
  <c r="G28" i="100"/>
  <c r="H28" i="100"/>
  <c r="I28" i="100"/>
  <c r="J28" i="100"/>
  <c r="K28" i="100"/>
  <c r="L28" i="100"/>
  <c r="M28" i="100"/>
  <c r="O5" i="100"/>
  <c r="O6" i="100"/>
  <c r="O7" i="100"/>
  <c r="O8" i="100"/>
  <c r="O9" i="100"/>
  <c r="O11" i="100"/>
  <c r="O12" i="100"/>
  <c r="O14" i="100"/>
  <c r="O15" i="100"/>
  <c r="O16" i="100"/>
  <c r="O17" i="100"/>
  <c r="O18" i="100"/>
  <c r="O19" i="100"/>
  <c r="O20" i="100"/>
  <c r="O21" i="100"/>
  <c r="O22" i="100"/>
  <c r="O23" i="100"/>
  <c r="O24" i="100"/>
  <c r="O25" i="100"/>
  <c r="O26" i="100"/>
  <c r="O27" i="100"/>
  <c r="N28" i="100"/>
  <c r="O28" i="100" s="1"/>
  <c r="M9" i="151"/>
  <c r="M8" i="151"/>
  <c r="M7" i="151"/>
  <c r="G16" i="139"/>
  <c r="F16" i="139"/>
  <c r="G5" i="139"/>
  <c r="F5" i="139"/>
  <c r="E8" i="134"/>
  <c r="D8" i="134"/>
  <c r="C8" i="134"/>
  <c r="B8" i="134"/>
  <c r="J4" i="127"/>
  <c r="H4" i="127"/>
  <c r="F4" i="127"/>
  <c r="D4" i="127"/>
  <c r="D20" i="125"/>
  <c r="C15" i="125"/>
  <c r="C20" i="125" s="1"/>
  <c r="C27" i="125" s="1"/>
  <c r="G13" i="125"/>
  <c r="G7" i="125"/>
  <c r="C29" i="120" l="1"/>
  <c r="G5" i="119"/>
  <c r="H5" i="119"/>
  <c r="I5" i="119"/>
  <c r="G6" i="119"/>
  <c r="H6" i="119"/>
  <c r="I6" i="119"/>
  <c r="G7" i="119"/>
  <c r="H7" i="119"/>
  <c r="I7" i="119"/>
  <c r="G8" i="119"/>
  <c r="H8" i="119"/>
  <c r="I8" i="119"/>
  <c r="G9" i="119"/>
  <c r="H9" i="119"/>
  <c r="I9" i="119"/>
  <c r="G10" i="119"/>
  <c r="H10" i="119"/>
  <c r="I10" i="119"/>
  <c r="G11" i="119"/>
  <c r="H11" i="119"/>
  <c r="I11" i="119"/>
  <c r="G12" i="119"/>
  <c r="H12" i="119"/>
  <c r="I12" i="119"/>
  <c r="G13" i="119"/>
  <c r="H13" i="119"/>
  <c r="I13" i="119"/>
  <c r="G14" i="119"/>
  <c r="H14" i="119"/>
  <c r="I14" i="119"/>
  <c r="G15" i="119"/>
  <c r="H15" i="119"/>
  <c r="I15" i="119"/>
  <c r="G16" i="119"/>
  <c r="H16" i="119"/>
  <c r="I16" i="119"/>
  <c r="G17" i="119"/>
  <c r="H17" i="119"/>
  <c r="I17" i="119"/>
  <c r="G18" i="119"/>
  <c r="H18" i="119"/>
  <c r="I18" i="119"/>
  <c r="J16" i="118"/>
  <c r="H16" i="118"/>
  <c r="G16" i="118"/>
  <c r="F16" i="118"/>
  <c r="D16" i="118"/>
  <c r="J15" i="118"/>
  <c r="H15" i="118"/>
  <c r="G15" i="118"/>
  <c r="F15" i="118"/>
  <c r="D15" i="118"/>
  <c r="J14" i="118"/>
  <c r="H14" i="118"/>
  <c r="G14" i="118"/>
  <c r="F14" i="118"/>
  <c r="D14" i="118"/>
  <c r="J13" i="118"/>
  <c r="K13" i="118" s="1"/>
  <c r="H13" i="118"/>
  <c r="G13" i="118"/>
  <c r="F13" i="118"/>
  <c r="D13" i="118"/>
  <c r="J12" i="118"/>
  <c r="H12" i="118"/>
  <c r="G12" i="118"/>
  <c r="F12" i="118"/>
  <c r="D12" i="118"/>
  <c r="J11" i="118"/>
  <c r="H11" i="118"/>
  <c r="G11" i="118"/>
  <c r="F11" i="118"/>
  <c r="D11" i="118"/>
  <c r="J10" i="118"/>
  <c r="H10" i="118"/>
  <c r="G10" i="118"/>
  <c r="F10" i="118"/>
  <c r="D10" i="118"/>
  <c r="J9" i="118"/>
  <c r="H9" i="118"/>
  <c r="G9" i="118"/>
  <c r="F9" i="118"/>
  <c r="D9" i="118"/>
  <c r="J8" i="118"/>
  <c r="K8" i="118" s="1"/>
  <c r="H8" i="118"/>
  <c r="G8" i="118"/>
  <c r="F8" i="118"/>
  <c r="D8" i="118"/>
  <c r="K7" i="118"/>
  <c r="I7" i="118"/>
  <c r="F7" i="118"/>
  <c r="D7" i="118"/>
  <c r="K6" i="118"/>
  <c r="I6" i="118"/>
  <c r="F6" i="118"/>
  <c r="D6" i="118"/>
  <c r="I10" i="118" l="1"/>
  <c r="K9" i="118"/>
  <c r="I9" i="118"/>
  <c r="I14" i="118"/>
  <c r="K10" i="118"/>
  <c r="I11" i="118"/>
  <c r="K15" i="118"/>
  <c r="I15" i="118"/>
  <c r="I12" i="118"/>
  <c r="I16" i="118"/>
  <c r="K12" i="118"/>
  <c r="K16" i="118"/>
  <c r="K11" i="118"/>
  <c r="I8" i="118"/>
  <c r="K14" i="118"/>
  <c r="I13" i="118"/>
  <c r="C50" i="116"/>
  <c r="G49" i="116"/>
  <c r="E49" i="116"/>
  <c r="C49" i="116"/>
  <c r="G48" i="116"/>
  <c r="E48" i="116"/>
  <c r="C48" i="116"/>
  <c r="G47" i="116"/>
  <c r="E47" i="116"/>
  <c r="C47" i="116"/>
  <c r="G46" i="116"/>
  <c r="E46" i="116"/>
  <c r="C46" i="116"/>
  <c r="G45" i="116"/>
  <c r="E45" i="116"/>
  <c r="C45" i="116"/>
  <c r="G44" i="116"/>
  <c r="E44" i="116"/>
  <c r="C44" i="116"/>
  <c r="G43" i="116"/>
  <c r="E43" i="116"/>
  <c r="C43" i="116"/>
  <c r="G42" i="116"/>
  <c r="E42" i="116"/>
  <c r="C42" i="116"/>
  <c r="G41" i="116"/>
  <c r="E41" i="116"/>
  <c r="C41" i="116"/>
  <c r="G40" i="116"/>
  <c r="E40" i="116"/>
  <c r="C40" i="116"/>
  <c r="G39" i="116"/>
  <c r="E39" i="116"/>
  <c r="C39" i="116"/>
  <c r="G38" i="116"/>
  <c r="E38" i="116"/>
  <c r="C38" i="116"/>
  <c r="G37" i="116"/>
  <c r="E37" i="116"/>
  <c r="C37" i="116"/>
  <c r="G36" i="116"/>
  <c r="E36" i="116"/>
  <c r="C36" i="116"/>
  <c r="G35" i="116"/>
  <c r="E35" i="116"/>
  <c r="C35" i="116"/>
  <c r="G34" i="116"/>
  <c r="G32" i="116" s="1"/>
  <c r="E34" i="116"/>
  <c r="C34" i="116"/>
  <c r="G33" i="116"/>
  <c r="E33" i="116"/>
  <c r="E32" i="116" s="1"/>
  <c r="C33" i="116"/>
  <c r="C32" i="116" s="1"/>
  <c r="C22" i="116"/>
  <c r="G21" i="116"/>
  <c r="E21" i="116"/>
  <c r="C21" i="116"/>
  <c r="G20" i="116"/>
  <c r="E20" i="116"/>
  <c r="C20" i="116"/>
  <c r="G19" i="116"/>
  <c r="E19" i="116"/>
  <c r="C19" i="116"/>
  <c r="G18" i="116"/>
  <c r="E18" i="116"/>
  <c r="C18" i="116"/>
  <c r="G17" i="116"/>
  <c r="E17" i="116"/>
  <c r="C17" i="116"/>
  <c r="G16" i="116"/>
  <c r="E16" i="116"/>
  <c r="C16" i="116"/>
  <c r="G15" i="116"/>
  <c r="E15" i="116"/>
  <c r="C15" i="116"/>
  <c r="G14" i="116"/>
  <c r="E14" i="116"/>
  <c r="C14" i="116"/>
  <c r="G13" i="116"/>
  <c r="E13" i="116"/>
  <c r="C13" i="116"/>
  <c r="G12" i="116"/>
  <c r="E12" i="116"/>
  <c r="C12" i="116"/>
  <c r="G11" i="116"/>
  <c r="E11" i="116"/>
  <c r="C11" i="116"/>
  <c r="G10" i="116"/>
  <c r="E10" i="116"/>
  <c r="C10" i="116"/>
  <c r="G9" i="116"/>
  <c r="E9" i="116"/>
  <c r="C9" i="116"/>
  <c r="G8" i="116"/>
  <c r="E8" i="116"/>
  <c r="C8" i="116"/>
  <c r="G7" i="116"/>
  <c r="E7" i="116"/>
  <c r="C7" i="116"/>
  <c r="G6" i="116"/>
  <c r="E6" i="116"/>
  <c r="C6" i="116"/>
  <c r="G5" i="116"/>
  <c r="E5" i="116"/>
  <c r="E4" i="116" s="1"/>
  <c r="C5" i="116"/>
  <c r="C4" i="116" s="1"/>
  <c r="G4" i="116"/>
  <c r="M27" i="107" l="1"/>
  <c r="L27" i="107"/>
  <c r="J27" i="107"/>
  <c r="H27" i="107"/>
  <c r="G27" i="107"/>
  <c r="F27" i="107"/>
  <c r="E27" i="107"/>
  <c r="D27" i="107"/>
  <c r="C27" i="107"/>
  <c r="E18" i="103"/>
  <c r="E17" i="103"/>
  <c r="E16" i="103"/>
  <c r="E15" i="103"/>
  <c r="E14" i="103"/>
  <c r="E13" i="103"/>
  <c r="E12" i="103"/>
  <c r="E11" i="103"/>
  <c r="E10" i="103"/>
  <c r="F32" i="102"/>
  <c r="E32" i="102"/>
  <c r="D32" i="102"/>
  <c r="G31" i="102"/>
  <c r="G30" i="102"/>
  <c r="G29" i="102"/>
  <c r="G28" i="102"/>
  <c r="G27" i="102"/>
  <c r="G26" i="102"/>
  <c r="G32" i="102" s="1"/>
  <c r="G23" i="102"/>
  <c r="G22" i="102"/>
  <c r="G19" i="102" s="1"/>
  <c r="G21" i="102"/>
  <c r="G20" i="102"/>
  <c r="F19" i="102"/>
  <c r="E19" i="102"/>
  <c r="E24" i="102" s="1"/>
  <c r="E33" i="102" s="1"/>
  <c r="D19" i="102"/>
  <c r="D24" i="102" s="1"/>
  <c r="D33" i="102" s="1"/>
  <c r="G18" i="102"/>
  <c r="G17" i="102"/>
  <c r="G16" i="102"/>
  <c r="G15" i="102"/>
  <c r="G14" i="102"/>
  <c r="G13" i="102"/>
  <c r="G12" i="102"/>
  <c r="G11" i="102"/>
  <c r="G10" i="102"/>
  <c r="G9" i="102"/>
  <c r="G6" i="102" s="1"/>
  <c r="G8" i="102"/>
  <c r="G7" i="102"/>
  <c r="F6" i="102"/>
  <c r="F24" i="102" s="1"/>
  <c r="F33" i="102" s="1"/>
  <c r="D6" i="102"/>
  <c r="G24" i="102" l="1"/>
  <c r="G33" i="102" s="1"/>
  <c r="AE17" i="101" l="1"/>
  <c r="AC17" i="101"/>
  <c r="AA17" i="101"/>
  <c r="Y17" i="101"/>
  <c r="W17" i="101"/>
  <c r="U17" i="101"/>
  <c r="S17" i="101"/>
  <c r="L17" i="101"/>
  <c r="M17" i="101" s="1"/>
  <c r="K17" i="101"/>
  <c r="I17" i="101"/>
  <c r="G17" i="101"/>
  <c r="E17" i="101"/>
  <c r="AE16" i="101"/>
  <c r="AC16" i="101"/>
  <c r="AA16" i="101"/>
  <c r="Y16" i="101"/>
  <c r="W16" i="101"/>
  <c r="U16" i="101"/>
  <c r="S16" i="101"/>
  <c r="Q16" i="101"/>
  <c r="N16" i="101"/>
  <c r="O16" i="101" s="1"/>
  <c r="L16" i="101"/>
  <c r="M16" i="101" s="1"/>
  <c r="K16" i="101"/>
  <c r="I16" i="101"/>
  <c r="G16" i="101"/>
  <c r="E16" i="101"/>
  <c r="AE15" i="101"/>
  <c r="AC15" i="101"/>
  <c r="AA15" i="101"/>
  <c r="Y15" i="101"/>
  <c r="W15" i="101"/>
  <c r="U15" i="101"/>
  <c r="S15" i="101"/>
  <c r="Q15" i="101"/>
  <c r="O15" i="101"/>
  <c r="M15" i="101"/>
  <c r="K15" i="101"/>
  <c r="I15" i="101"/>
  <c r="G15" i="101"/>
  <c r="E15" i="101"/>
  <c r="AE14" i="101"/>
  <c r="AC14" i="101"/>
  <c r="AA14" i="101"/>
  <c r="Y14" i="101"/>
  <c r="W14" i="101"/>
  <c r="U14" i="101"/>
  <c r="S14" i="101"/>
  <c r="Q14" i="101"/>
  <c r="O14" i="101"/>
  <c r="M14" i="101"/>
  <c r="K14" i="101"/>
  <c r="I14" i="101"/>
  <c r="G14" i="101"/>
  <c r="E14" i="101"/>
  <c r="AE13" i="101"/>
  <c r="AC13" i="101"/>
  <c r="AA13" i="101"/>
  <c r="Y13" i="101"/>
  <c r="W13" i="101"/>
  <c r="U13" i="101"/>
  <c r="S13" i="101"/>
  <c r="Q13" i="101"/>
  <c r="O13" i="101"/>
  <c r="M13" i="101"/>
  <c r="K13" i="101"/>
  <c r="I13" i="101"/>
  <c r="G13" i="101"/>
  <c r="E13" i="101"/>
  <c r="AE12" i="101"/>
  <c r="AC12" i="101"/>
  <c r="AA12" i="101"/>
  <c r="Y12" i="101"/>
  <c r="W12" i="101"/>
  <c r="U12" i="101"/>
  <c r="S12" i="101"/>
  <c r="Q12" i="101"/>
  <c r="O12" i="101"/>
  <c r="M12" i="101"/>
  <c r="K12" i="101"/>
  <c r="I12" i="101"/>
  <c r="G12" i="101"/>
  <c r="E12" i="101"/>
  <c r="AE11" i="101"/>
  <c r="AC11" i="101"/>
  <c r="AA11" i="101"/>
  <c r="Y11" i="101"/>
  <c r="W11" i="101"/>
  <c r="U11" i="101"/>
  <c r="S11" i="101"/>
  <c r="Q11" i="101"/>
  <c r="O11" i="101"/>
  <c r="M11" i="101"/>
  <c r="K11" i="101"/>
  <c r="I11" i="101"/>
  <c r="G11" i="101"/>
  <c r="E11" i="101"/>
  <c r="AE10" i="101"/>
  <c r="AC10" i="101"/>
  <c r="AA10" i="101"/>
  <c r="Y10" i="101"/>
  <c r="W10" i="101"/>
  <c r="U10" i="101"/>
  <c r="S10" i="101"/>
  <c r="Q10" i="101"/>
  <c r="O10" i="101"/>
  <c r="M10" i="101"/>
  <c r="K10" i="101"/>
  <c r="I10" i="101"/>
  <c r="G10" i="101"/>
  <c r="E10" i="101"/>
  <c r="AE9" i="101"/>
  <c r="AC9" i="101"/>
  <c r="AA9" i="101"/>
  <c r="Y9" i="101"/>
  <c r="W9" i="101"/>
  <c r="U9" i="101"/>
  <c r="S9" i="101"/>
  <c r="Q9" i="101"/>
  <c r="O9" i="101"/>
  <c r="M9" i="101"/>
  <c r="K9" i="101"/>
  <c r="I9" i="101"/>
  <c r="G9" i="101"/>
  <c r="E9" i="101"/>
  <c r="AE8" i="101"/>
  <c r="AC8" i="101"/>
  <c r="AA8" i="101"/>
  <c r="Y8" i="101"/>
  <c r="W8" i="101"/>
  <c r="U8" i="101"/>
  <c r="S8" i="101"/>
  <c r="Q8" i="101"/>
  <c r="O8" i="101"/>
  <c r="M8" i="101"/>
  <c r="K8" i="101"/>
  <c r="I8" i="101"/>
  <c r="G8" i="101"/>
  <c r="E8" i="101"/>
  <c r="AE7" i="101"/>
  <c r="AC7" i="101"/>
  <c r="AA7" i="101"/>
  <c r="Y7" i="101"/>
  <c r="W7" i="101"/>
  <c r="U7" i="101"/>
  <c r="S7" i="101"/>
  <c r="Q7" i="101"/>
  <c r="O7" i="101"/>
  <c r="M7" i="101"/>
  <c r="K7" i="101"/>
  <c r="I7" i="101"/>
  <c r="G7" i="101"/>
  <c r="E7" i="101"/>
  <c r="AE6" i="101"/>
  <c r="AC6" i="101"/>
  <c r="AA6" i="101"/>
  <c r="Y6" i="101"/>
  <c r="W6" i="101"/>
  <c r="U6" i="101"/>
  <c r="S6" i="101"/>
  <c r="Q6" i="101"/>
  <c r="O6" i="101"/>
  <c r="M6" i="101"/>
  <c r="K6" i="101"/>
  <c r="I6" i="101"/>
  <c r="G6" i="101"/>
  <c r="E6" i="101"/>
  <c r="AE5" i="101"/>
  <c r="AC5" i="101"/>
  <c r="AA5" i="101"/>
  <c r="Y5" i="101"/>
  <c r="W5" i="101"/>
  <c r="U5" i="101"/>
  <c r="S5" i="101"/>
  <c r="Q5" i="101"/>
  <c r="O5" i="101"/>
  <c r="M5" i="101"/>
  <c r="K5" i="101"/>
  <c r="I5" i="101"/>
  <c r="G5" i="101"/>
  <c r="E5" i="101"/>
  <c r="N17" i="101" l="1"/>
  <c r="AD28" i="100"/>
  <c r="AB28" i="100"/>
  <c r="Z28" i="100"/>
  <c r="AA28" i="100" s="1"/>
  <c r="X28" i="100"/>
  <c r="V28" i="100"/>
  <c r="T28" i="100"/>
  <c r="R28" i="100"/>
  <c r="S28" i="100" s="1"/>
  <c r="P28" i="100"/>
  <c r="AE27" i="100"/>
  <c r="AC27" i="100"/>
  <c r="AA27" i="100"/>
  <c r="Y27" i="100"/>
  <c r="W27" i="100"/>
  <c r="U27" i="100"/>
  <c r="S27" i="100"/>
  <c r="Q27" i="100"/>
  <c r="AE26" i="100"/>
  <c r="AC26" i="100"/>
  <c r="AA26" i="100"/>
  <c r="Y26" i="100"/>
  <c r="W26" i="100"/>
  <c r="U26" i="100"/>
  <c r="S26" i="100"/>
  <c r="Q26" i="100"/>
  <c r="AE25" i="100"/>
  <c r="AC25" i="100"/>
  <c r="AA25" i="100"/>
  <c r="Y25" i="100"/>
  <c r="W25" i="100"/>
  <c r="U25" i="100"/>
  <c r="S25" i="100"/>
  <c r="Q25" i="100"/>
  <c r="AE24" i="100"/>
  <c r="AC24" i="100"/>
  <c r="AA24" i="100"/>
  <c r="Y24" i="100"/>
  <c r="W24" i="100"/>
  <c r="U24" i="100"/>
  <c r="S24" i="100"/>
  <c r="Q24" i="100"/>
  <c r="AE23" i="100"/>
  <c r="AC23" i="100"/>
  <c r="AA23" i="100"/>
  <c r="Y23" i="100"/>
  <c r="W23" i="100"/>
  <c r="U23" i="100"/>
  <c r="S23" i="100"/>
  <c r="Q23" i="100"/>
  <c r="AE22" i="100"/>
  <c r="AC22" i="100"/>
  <c r="AA22" i="100"/>
  <c r="Y22" i="100"/>
  <c r="W22" i="100"/>
  <c r="U22" i="100"/>
  <c r="S22" i="100"/>
  <c r="Q22" i="100"/>
  <c r="AE21" i="100"/>
  <c r="AC21" i="100"/>
  <c r="AA21" i="100"/>
  <c r="Y21" i="100"/>
  <c r="W21" i="100"/>
  <c r="U21" i="100"/>
  <c r="S21" i="100"/>
  <c r="Q21" i="100"/>
  <c r="AE20" i="100"/>
  <c r="AC20" i="100"/>
  <c r="AA20" i="100"/>
  <c r="Y20" i="100"/>
  <c r="W20" i="100"/>
  <c r="U20" i="100"/>
  <c r="S20" i="100"/>
  <c r="Q20" i="100"/>
  <c r="AE19" i="100"/>
  <c r="AC19" i="100"/>
  <c r="AA19" i="100"/>
  <c r="Y19" i="100"/>
  <c r="W19" i="100"/>
  <c r="U19" i="100"/>
  <c r="S19" i="100"/>
  <c r="Q19" i="100"/>
  <c r="AE18" i="100"/>
  <c r="AC18" i="100"/>
  <c r="AA18" i="100"/>
  <c r="Y18" i="100"/>
  <c r="W18" i="100"/>
  <c r="U18" i="100"/>
  <c r="S18" i="100"/>
  <c r="Q18" i="100"/>
  <c r="AE17" i="100"/>
  <c r="AC17" i="100"/>
  <c r="AA17" i="100"/>
  <c r="Y17" i="100"/>
  <c r="W17" i="100"/>
  <c r="U17" i="100"/>
  <c r="S17" i="100"/>
  <c r="Q17" i="100"/>
  <c r="AE16" i="100"/>
  <c r="AC16" i="100"/>
  <c r="AA16" i="100"/>
  <c r="Y16" i="100"/>
  <c r="W16" i="100"/>
  <c r="U16" i="100"/>
  <c r="S16" i="100"/>
  <c r="Q16" i="100"/>
  <c r="AE15" i="100"/>
  <c r="AC15" i="100"/>
  <c r="AA15" i="100"/>
  <c r="Y15" i="100"/>
  <c r="W15" i="100"/>
  <c r="U15" i="100"/>
  <c r="S15" i="100"/>
  <c r="Q15" i="100"/>
  <c r="W14" i="100"/>
  <c r="U14" i="100"/>
  <c r="S14" i="100"/>
  <c r="Q14" i="100"/>
  <c r="AE13" i="100"/>
  <c r="AC13" i="100"/>
  <c r="AA13" i="100"/>
  <c r="AE12" i="100"/>
  <c r="AC12" i="100"/>
  <c r="AA12" i="100"/>
  <c r="Y12" i="100"/>
  <c r="W12" i="100"/>
  <c r="U12" i="100"/>
  <c r="S12" i="100"/>
  <c r="Q12" i="100"/>
  <c r="AE11" i="100"/>
  <c r="AC11" i="100"/>
  <c r="AA11" i="100"/>
  <c r="Y11" i="100"/>
  <c r="W11" i="100"/>
  <c r="U11" i="100"/>
  <c r="S11" i="100"/>
  <c r="Q11" i="100"/>
  <c r="AE10" i="100"/>
  <c r="AC10" i="100"/>
  <c r="AA10" i="100"/>
  <c r="AE9" i="100"/>
  <c r="AC9" i="100"/>
  <c r="AA9" i="100"/>
  <c r="Y9" i="100"/>
  <c r="W9" i="100"/>
  <c r="U9" i="100"/>
  <c r="S9" i="100"/>
  <c r="Q9" i="100"/>
  <c r="AE8" i="100"/>
  <c r="AC8" i="100"/>
  <c r="AA8" i="100"/>
  <c r="Y8" i="100"/>
  <c r="W8" i="100"/>
  <c r="U8" i="100"/>
  <c r="S8" i="100"/>
  <c r="Q8" i="100"/>
  <c r="AE7" i="100"/>
  <c r="AC7" i="100"/>
  <c r="AA7" i="100"/>
  <c r="Y7" i="100"/>
  <c r="W7" i="100"/>
  <c r="U7" i="100"/>
  <c r="S7" i="100"/>
  <c r="Q7" i="100"/>
  <c r="AE6" i="100"/>
  <c r="AC6" i="100"/>
  <c r="AA6" i="100"/>
  <c r="Y6" i="100"/>
  <c r="W6" i="100"/>
  <c r="U6" i="100"/>
  <c r="S6" i="100"/>
  <c r="Q6" i="100"/>
  <c r="AE5" i="100"/>
  <c r="AC5" i="100"/>
  <c r="AA5" i="100"/>
  <c r="Y5" i="100"/>
  <c r="W5" i="100"/>
  <c r="U5" i="100"/>
  <c r="S5" i="100"/>
  <c r="Q5" i="100"/>
  <c r="AC28" i="100" l="1"/>
  <c r="W28" i="100"/>
  <c r="AE28" i="100"/>
  <c r="U28" i="100"/>
  <c r="Q28" i="100"/>
  <c r="Y28" i="100"/>
  <c r="O17" i="101"/>
  <c r="Q17" i="101"/>
  <c r="B136" i="97" l="1"/>
  <c r="B137" i="97"/>
  <c r="B138" i="97"/>
  <c r="B140" i="97"/>
  <c r="B141" i="97"/>
  <c r="B3" i="97"/>
  <c r="B4" i="97"/>
  <c r="B5" i="97"/>
  <c r="B6" i="97"/>
  <c r="B7" i="97"/>
  <c r="B8" i="97"/>
  <c r="B9" i="97"/>
  <c r="B10" i="97"/>
  <c r="B11" i="97"/>
  <c r="B12" i="97"/>
  <c r="B13" i="97"/>
  <c r="B14" i="97"/>
  <c r="B15" i="97"/>
  <c r="B16" i="97"/>
  <c r="B17" i="97"/>
  <c r="B18" i="97"/>
  <c r="B19" i="97"/>
  <c r="B20" i="97"/>
  <c r="B21" i="97"/>
  <c r="B22" i="97"/>
  <c r="B23" i="97"/>
  <c r="B24" i="97"/>
  <c r="B25" i="97"/>
  <c r="B26" i="97"/>
  <c r="B27" i="97"/>
  <c r="B28" i="97"/>
  <c r="B29" i="97"/>
  <c r="B30" i="97"/>
  <c r="B31" i="97"/>
  <c r="B32" i="97"/>
  <c r="B33" i="97"/>
  <c r="B34" i="97"/>
  <c r="B35" i="97"/>
  <c r="B36" i="97"/>
  <c r="B37" i="97"/>
  <c r="B38" i="97"/>
  <c r="B39" i="97"/>
  <c r="B40" i="97"/>
  <c r="B41" i="97"/>
  <c r="B42" i="97"/>
  <c r="B43" i="97"/>
  <c r="B44" i="97"/>
  <c r="B45" i="97"/>
  <c r="B46" i="97"/>
  <c r="B47" i="97"/>
  <c r="B48" i="97"/>
  <c r="B49" i="97"/>
  <c r="B50" i="97"/>
  <c r="B51" i="97"/>
  <c r="B52" i="97"/>
  <c r="B53" i="97"/>
  <c r="B54" i="97"/>
  <c r="B55" i="97"/>
  <c r="B56" i="97"/>
  <c r="B57" i="97"/>
  <c r="B58" i="97"/>
  <c r="B59" i="97"/>
  <c r="B60" i="97"/>
  <c r="B61" i="97"/>
  <c r="B62" i="97"/>
  <c r="B63" i="97"/>
  <c r="B64" i="97"/>
  <c r="B65" i="97"/>
  <c r="B66" i="97"/>
  <c r="B67" i="97"/>
  <c r="B68" i="97"/>
  <c r="B69" i="97"/>
  <c r="B70" i="97"/>
  <c r="B71" i="97"/>
  <c r="B72" i="97"/>
  <c r="B73" i="97"/>
  <c r="B74" i="97"/>
  <c r="B75" i="97"/>
  <c r="B76" i="97"/>
  <c r="B77" i="97"/>
  <c r="B78" i="97"/>
  <c r="B79" i="97"/>
  <c r="B80" i="97"/>
  <c r="B81" i="97"/>
  <c r="B82" i="97"/>
  <c r="B83" i="97"/>
  <c r="B84" i="97"/>
  <c r="B85" i="97"/>
  <c r="B86" i="97"/>
  <c r="B87" i="97"/>
  <c r="B88" i="97"/>
  <c r="B89" i="97"/>
  <c r="B90" i="97"/>
  <c r="B91" i="97"/>
  <c r="B92" i="97"/>
  <c r="B93" i="97"/>
  <c r="B94" i="97"/>
  <c r="B95" i="97"/>
  <c r="B96" i="97"/>
  <c r="B97" i="97"/>
  <c r="B98" i="97"/>
  <c r="B99" i="97"/>
  <c r="B100" i="97"/>
  <c r="B101" i="97"/>
  <c r="B102" i="97"/>
  <c r="B103" i="97"/>
  <c r="B104" i="97"/>
  <c r="B105" i="97"/>
  <c r="B106" i="97"/>
  <c r="B107" i="97"/>
  <c r="B108" i="97"/>
  <c r="B109" i="97"/>
  <c r="B110" i="97"/>
  <c r="B111" i="97"/>
  <c r="B112" i="97"/>
  <c r="B113" i="97"/>
  <c r="B114" i="97"/>
  <c r="B115" i="97"/>
  <c r="B116" i="97"/>
  <c r="B117" i="97"/>
  <c r="B118" i="97"/>
  <c r="B119" i="97"/>
  <c r="B120" i="97"/>
  <c r="B121" i="97"/>
  <c r="B122" i="97"/>
  <c r="B123" i="97"/>
  <c r="B124" i="97"/>
  <c r="B125" i="97"/>
  <c r="B127" i="97"/>
  <c r="B128" i="97"/>
  <c r="B129" i="97"/>
  <c r="B130" i="97"/>
  <c r="B131" i="97"/>
  <c r="B132" i="97"/>
  <c r="B133" i="97"/>
  <c r="B134" i="97"/>
  <c r="B135" i="97"/>
  <c r="B2" i="97"/>
  <c r="C13" i="78"/>
  <c r="C12" i="78"/>
  <c r="C11" i="78"/>
  <c r="C6" i="78"/>
  <c r="C5" i="78"/>
  <c r="H30" i="73" l="1"/>
  <c r="H29" i="73"/>
  <c r="H28" i="73"/>
  <c r="H27" i="73"/>
  <c r="H26" i="73"/>
  <c r="H25" i="73"/>
  <c r="G5" i="65"/>
  <c r="H30" i="62"/>
  <c r="H29" i="62"/>
  <c r="K16" i="56"/>
  <c r="J16" i="56"/>
  <c r="K15" i="56"/>
  <c r="J15" i="56"/>
  <c r="D47" i="55"/>
  <c r="B47" i="55"/>
  <c r="D46" i="55"/>
  <c r="B46" i="55"/>
  <c r="F17" i="55"/>
  <c r="F16" i="55"/>
  <c r="X17" i="51"/>
  <c r="Y16" i="51"/>
  <c r="X15" i="51"/>
  <c r="X14" i="51"/>
  <c r="X13" i="51"/>
  <c r="X12" i="51"/>
  <c r="X11" i="51"/>
  <c r="X9" i="51"/>
  <c r="X8" i="51"/>
  <c r="X7" i="51"/>
  <c r="X6" i="51"/>
  <c r="X5" i="51"/>
  <c r="X4" i="51"/>
  <c r="O10" i="47"/>
  <c r="N10" i="47"/>
  <c r="M10" i="47"/>
  <c r="L10" i="47"/>
  <c r="K10" i="47"/>
  <c r="J10" i="47"/>
  <c r="I10" i="47"/>
  <c r="H10" i="47"/>
  <c r="G10" i="47"/>
  <c r="E10" i="47"/>
  <c r="F10" i="47" s="1"/>
  <c r="D10" i="47"/>
  <c r="C10" i="47"/>
  <c r="B10" i="47"/>
  <c r="G7" i="47"/>
  <c r="H7" i="47" s="1"/>
  <c r="F7" i="47"/>
  <c r="E19" i="46"/>
  <c r="E18" i="46"/>
  <c r="J7" i="46"/>
  <c r="I7" i="46"/>
  <c r="H7" i="46"/>
  <c r="G7" i="46"/>
  <c r="F7" i="46"/>
  <c r="E7" i="46"/>
  <c r="D7" i="46"/>
  <c r="C7" i="46"/>
  <c r="B7" i="46"/>
  <c r="Q61" i="42" l="1"/>
  <c r="P61" i="42"/>
  <c r="Q60" i="42"/>
  <c r="P60" i="42"/>
  <c r="Q59" i="42"/>
  <c r="P59" i="42"/>
  <c r="Q58" i="42"/>
  <c r="P58" i="42"/>
  <c r="Q57" i="42"/>
  <c r="P57" i="42"/>
  <c r="Q56" i="42"/>
  <c r="P56" i="42"/>
  <c r="Q55" i="42"/>
  <c r="P55" i="42"/>
  <c r="Q54" i="42"/>
  <c r="P54" i="42"/>
  <c r="Q53" i="42"/>
  <c r="P53" i="42"/>
  <c r="Q52" i="42"/>
  <c r="P52" i="42"/>
  <c r="Q51" i="42"/>
  <c r="P51" i="42"/>
  <c r="Q50" i="42"/>
  <c r="P50" i="42"/>
  <c r="Q49" i="42"/>
  <c r="P49" i="42"/>
  <c r="Q48" i="42"/>
  <c r="P48" i="42"/>
  <c r="Q47" i="42"/>
  <c r="P47" i="42"/>
  <c r="Q46" i="42"/>
  <c r="P46" i="42"/>
  <c r="Q45" i="42"/>
  <c r="P45" i="42"/>
  <c r="Q44" i="42"/>
  <c r="P44" i="42"/>
  <c r="Q43" i="42"/>
  <c r="P43" i="42"/>
  <c r="Q42" i="42"/>
  <c r="P42" i="42"/>
  <c r="Q41" i="42"/>
  <c r="P41" i="42"/>
  <c r="P40" i="42"/>
  <c r="O40" i="42"/>
  <c r="N40" i="42"/>
  <c r="K40" i="42"/>
  <c r="H40" i="42"/>
  <c r="Q40" i="42" s="1"/>
  <c r="E40" i="42"/>
  <c r="D40" i="42"/>
  <c r="C40" i="42"/>
  <c r="Q39" i="42"/>
  <c r="O39" i="42"/>
  <c r="N39" i="42"/>
  <c r="K39" i="42"/>
  <c r="K38" i="42" s="1"/>
  <c r="H39" i="42"/>
  <c r="E39" i="42"/>
  <c r="D39" i="42"/>
  <c r="C39" i="42"/>
  <c r="P39" i="42" s="1"/>
  <c r="O38" i="42"/>
  <c r="N38" i="42"/>
  <c r="I38" i="42"/>
  <c r="G38" i="42"/>
  <c r="E38" i="42"/>
  <c r="D38" i="42"/>
  <c r="B38" i="42"/>
  <c r="Q37" i="42"/>
  <c r="P37" i="42"/>
  <c r="Q36" i="42"/>
  <c r="P36" i="42"/>
  <c r="Q35" i="42"/>
  <c r="P35" i="42"/>
  <c r="O34" i="42"/>
  <c r="N34" i="42"/>
  <c r="K34" i="42"/>
  <c r="H34" i="42"/>
  <c r="G34" i="42"/>
  <c r="E34" i="42"/>
  <c r="D34" i="42"/>
  <c r="C34" i="42"/>
  <c r="B34" i="42" s="1"/>
  <c r="O33" i="42"/>
  <c r="O32" i="42" s="1"/>
  <c r="N33" i="42"/>
  <c r="K33" i="42"/>
  <c r="H33" i="42"/>
  <c r="G33" i="42"/>
  <c r="E33" i="42"/>
  <c r="C33" i="42" s="1"/>
  <c r="D33" i="42"/>
  <c r="N32" i="42"/>
  <c r="K32" i="42"/>
  <c r="I32" i="42"/>
  <c r="G32" i="42"/>
  <c r="E32" i="42"/>
  <c r="D32" i="42"/>
  <c r="O31" i="42"/>
  <c r="N31" i="42"/>
  <c r="K31" i="42"/>
  <c r="H31" i="42"/>
  <c r="G31" i="42"/>
  <c r="E31" i="42"/>
  <c r="E29" i="42" s="1"/>
  <c r="D31" i="42"/>
  <c r="C31" i="42" s="1"/>
  <c r="N30" i="42"/>
  <c r="K30" i="42"/>
  <c r="H30" i="42"/>
  <c r="Q30" i="42" s="1"/>
  <c r="G30" i="42"/>
  <c r="D30" i="42"/>
  <c r="C30" i="42"/>
  <c r="B30" i="42"/>
  <c r="P30" i="42" s="1"/>
  <c r="O29" i="42"/>
  <c r="N29" i="42"/>
  <c r="K29" i="42"/>
  <c r="I29" i="42"/>
  <c r="G29" i="42"/>
  <c r="O28" i="42"/>
  <c r="N28" i="42"/>
  <c r="K28" i="42"/>
  <c r="H28" i="42"/>
  <c r="G28" i="42"/>
  <c r="G26" i="42" s="1"/>
  <c r="E28" i="42"/>
  <c r="E26" i="42" s="1"/>
  <c r="D28" i="42"/>
  <c r="C28" i="42" s="1"/>
  <c r="O27" i="42"/>
  <c r="N27" i="42"/>
  <c r="N26" i="42" s="1"/>
  <c r="K27" i="42"/>
  <c r="K26" i="42" s="1"/>
  <c r="H27" i="42"/>
  <c r="G27" i="42"/>
  <c r="E27" i="42"/>
  <c r="D27" i="42"/>
  <c r="C27" i="42" s="1"/>
  <c r="O26" i="42"/>
  <c r="I26" i="42"/>
  <c r="H26" i="42"/>
  <c r="D26" i="42"/>
  <c r="O25" i="42"/>
  <c r="N25" i="42"/>
  <c r="K25" i="42"/>
  <c r="H25" i="42"/>
  <c r="G25" i="42"/>
  <c r="E25" i="42"/>
  <c r="D25" i="42"/>
  <c r="D23" i="42" s="1"/>
  <c r="C25" i="42"/>
  <c r="B25" i="42" s="1"/>
  <c r="O24" i="42"/>
  <c r="O23" i="42" s="1"/>
  <c r="N24" i="42"/>
  <c r="K24" i="42"/>
  <c r="H24" i="42"/>
  <c r="G24" i="42"/>
  <c r="E24" i="42"/>
  <c r="C24" i="42" s="1"/>
  <c r="D24" i="42"/>
  <c r="N23" i="42"/>
  <c r="K23" i="42"/>
  <c r="I23" i="42"/>
  <c r="G23" i="42"/>
  <c r="E23" i="42"/>
  <c r="O22" i="42"/>
  <c r="N22" i="42"/>
  <c r="N20" i="42" s="1"/>
  <c r="K22" i="42"/>
  <c r="H22" i="42"/>
  <c r="G22" i="42"/>
  <c r="E22" i="42"/>
  <c r="E20" i="42" s="1"/>
  <c r="D22" i="42"/>
  <c r="C22" i="42" s="1"/>
  <c r="N21" i="42"/>
  <c r="K21" i="42"/>
  <c r="K20" i="42" s="1"/>
  <c r="H21" i="42"/>
  <c r="G21" i="42"/>
  <c r="E21" i="42"/>
  <c r="D21" i="42"/>
  <c r="C21" i="42"/>
  <c r="O20" i="42"/>
  <c r="I20" i="42"/>
  <c r="H20" i="42"/>
  <c r="G20" i="42"/>
  <c r="D20" i="42"/>
  <c r="O19" i="42"/>
  <c r="N19" i="42"/>
  <c r="K19" i="42"/>
  <c r="H19" i="42"/>
  <c r="G19" i="42"/>
  <c r="G17" i="42" s="1"/>
  <c r="E19" i="42"/>
  <c r="C19" i="42" s="1"/>
  <c r="D19" i="42"/>
  <c r="O18" i="42"/>
  <c r="O17" i="42" s="1"/>
  <c r="N18" i="42"/>
  <c r="N17" i="42" s="1"/>
  <c r="K18" i="42"/>
  <c r="H18" i="42"/>
  <c r="G18" i="42"/>
  <c r="E18" i="42"/>
  <c r="D18" i="42"/>
  <c r="C18" i="42" s="1"/>
  <c r="K17" i="42"/>
  <c r="I17" i="42"/>
  <c r="E17" i="42"/>
  <c r="D17" i="42"/>
  <c r="O16" i="42"/>
  <c r="N16" i="42"/>
  <c r="K16" i="42"/>
  <c r="K14" i="42" s="1"/>
  <c r="H16" i="42"/>
  <c r="G16" i="42"/>
  <c r="E16" i="42"/>
  <c r="D16" i="42"/>
  <c r="C16" i="42" s="1"/>
  <c r="O15" i="42"/>
  <c r="N15" i="42"/>
  <c r="K15" i="42"/>
  <c r="H15" i="42"/>
  <c r="G15" i="42"/>
  <c r="E15" i="42"/>
  <c r="D15" i="42"/>
  <c r="C15" i="42"/>
  <c r="B15" i="42" s="1"/>
  <c r="O14" i="42"/>
  <c r="N14" i="42"/>
  <c r="G14" i="42"/>
  <c r="E14" i="42"/>
  <c r="O13" i="42"/>
  <c r="N13" i="42"/>
  <c r="N11" i="42" s="1"/>
  <c r="K13" i="42"/>
  <c r="I13" i="42"/>
  <c r="H13" i="42"/>
  <c r="G13" i="42"/>
  <c r="E13" i="42"/>
  <c r="D13" i="42"/>
  <c r="C13" i="42" s="1"/>
  <c r="N12" i="42"/>
  <c r="K12" i="42"/>
  <c r="K11" i="42" s="1"/>
  <c r="H12" i="42"/>
  <c r="Q12" i="42" s="1"/>
  <c r="G12" i="42"/>
  <c r="D12" i="42"/>
  <c r="C12" i="42"/>
  <c r="B12" i="42" s="1"/>
  <c r="O11" i="42"/>
  <c r="G11" i="42"/>
  <c r="E11" i="42"/>
  <c r="D11" i="42"/>
  <c r="B24" i="42" l="1"/>
  <c r="B23" i="42" s="1"/>
  <c r="C23" i="42"/>
  <c r="P23" i="42" s="1"/>
  <c r="B31" i="42"/>
  <c r="Q31" i="42" s="1"/>
  <c r="C29" i="42"/>
  <c r="Q34" i="42"/>
  <c r="C20" i="42"/>
  <c r="B22" i="42"/>
  <c r="Q22" i="42" s="1"/>
  <c r="C17" i="42"/>
  <c r="B18" i="42"/>
  <c r="B19" i="42"/>
  <c r="Q19" i="42" s="1"/>
  <c r="B28" i="42"/>
  <c r="Q28" i="42" s="1"/>
  <c r="B13" i="42"/>
  <c r="Q13" i="42" s="1"/>
  <c r="Q15" i="42"/>
  <c r="B16" i="42"/>
  <c r="Q16" i="42" s="1"/>
  <c r="Q24" i="42"/>
  <c r="Q25" i="42"/>
  <c r="C26" i="42"/>
  <c r="B27" i="42"/>
  <c r="B33" i="42"/>
  <c r="B32" i="42" s="1"/>
  <c r="C32" i="42"/>
  <c r="C11" i="42"/>
  <c r="H11" i="42"/>
  <c r="C14" i="42"/>
  <c r="H14" i="42"/>
  <c r="H23" i="42"/>
  <c r="Q23" i="42" s="1"/>
  <c r="H29" i="42"/>
  <c r="Q29" i="42" s="1"/>
  <c r="H32" i="42"/>
  <c r="C38" i="42"/>
  <c r="P38" i="42" s="1"/>
  <c r="H38" i="42"/>
  <c r="Q38" i="42" s="1"/>
  <c r="P25" i="42"/>
  <c r="B29" i="42"/>
  <c r="P34" i="42"/>
  <c r="P12" i="42"/>
  <c r="D14" i="42"/>
  <c r="H17" i="42"/>
  <c r="D29" i="42"/>
  <c r="P15" i="42"/>
  <c r="B21" i="42"/>
  <c r="B20" i="42" s="1"/>
  <c r="Q20" i="42" s="1"/>
  <c r="Q33" i="42" l="1"/>
  <c r="Q27" i="42"/>
  <c r="B26" i="42"/>
  <c r="Q26" i="42" s="1"/>
  <c r="B14" i="42"/>
  <c r="P28" i="42"/>
  <c r="Q18" i="42"/>
  <c r="B17" i="42"/>
  <c r="P17" i="42" s="1"/>
  <c r="P20" i="42"/>
  <c r="P29" i="42"/>
  <c r="P24" i="42"/>
  <c r="B11" i="42"/>
  <c r="P11" i="42" s="1"/>
  <c r="P21" i="42"/>
  <c r="Q14" i="42"/>
  <c r="P32" i="42"/>
  <c r="P26" i="42"/>
  <c r="P22" i="42"/>
  <c r="Q17" i="42"/>
  <c r="Q32" i="42"/>
  <c r="P14" i="42"/>
  <c r="P33" i="42"/>
  <c r="P27" i="42"/>
  <c r="P16" i="42"/>
  <c r="P13" i="42"/>
  <c r="P19" i="42"/>
  <c r="P18" i="42"/>
  <c r="P31" i="42"/>
  <c r="Q21" i="42"/>
  <c r="Q11" i="42" l="1"/>
  <c r="C55" i="41" l="1"/>
  <c r="T55" i="41" s="1"/>
  <c r="C54" i="41"/>
  <c r="T54" i="41" s="1"/>
  <c r="S53" i="41"/>
  <c r="Q53" i="41"/>
  <c r="P53" i="41"/>
  <c r="M53" i="41"/>
  <c r="K53" i="41"/>
  <c r="H53" i="41"/>
  <c r="G53" i="41"/>
  <c r="F53" i="41"/>
  <c r="E53" i="41"/>
  <c r="D53" i="41"/>
  <c r="C53" i="41"/>
  <c r="T53" i="41" s="1"/>
  <c r="U48" i="41"/>
  <c r="U7" i="41"/>
  <c r="T7" i="41"/>
  <c r="T6" i="41"/>
  <c r="U5" i="41"/>
  <c r="T5" i="41"/>
  <c r="I19" i="40" l="1"/>
  <c r="G19" i="40"/>
  <c r="I18" i="40"/>
  <c r="G18" i="40"/>
  <c r="I17" i="40"/>
  <c r="G17" i="40"/>
  <c r="I16" i="40"/>
  <c r="G16" i="40"/>
  <c r="I8" i="40"/>
  <c r="G8" i="40"/>
  <c r="I7" i="40"/>
  <c r="G7" i="40"/>
  <c r="I6" i="40"/>
  <c r="G6" i="40"/>
  <c r="I5" i="40"/>
  <c r="G5" i="40"/>
  <c r="D7" i="39" l="1"/>
  <c r="L9" i="38"/>
  <c r="K9" i="38"/>
  <c r="J9" i="38"/>
  <c r="H9" i="38"/>
  <c r="F9" i="38"/>
  <c r="E9" i="38"/>
  <c r="D9" i="38"/>
  <c r="I9" i="38" s="1"/>
  <c r="C9" i="38"/>
  <c r="G9" i="38" s="1"/>
  <c r="L8" i="38"/>
  <c r="K8" i="38"/>
  <c r="J8" i="38"/>
  <c r="I8" i="38"/>
  <c r="H8" i="38"/>
  <c r="G8" i="38"/>
  <c r="F8" i="38"/>
  <c r="E8" i="38"/>
  <c r="D8" i="38"/>
  <c r="D7" i="38"/>
  <c r="I7" i="38" s="1"/>
  <c r="G7" i="38" l="1"/>
  <c r="AG14" i="36" l="1"/>
  <c r="AD14" i="36"/>
  <c r="U14" i="36"/>
  <c r="R14" i="36"/>
  <c r="O14" i="36"/>
  <c r="L14" i="36"/>
  <c r="I14" i="36"/>
  <c r="F14" i="36"/>
  <c r="AG13" i="36"/>
  <c r="AD13" i="36"/>
  <c r="U13" i="36"/>
  <c r="R13" i="36"/>
  <c r="O13" i="36"/>
  <c r="L13" i="36"/>
  <c r="I13" i="36"/>
  <c r="F13" i="36"/>
  <c r="AI12" i="36"/>
  <c r="AJ12" i="36" s="1"/>
  <c r="AH12" i="36"/>
  <c r="AF12" i="36"/>
  <c r="AG12" i="36" s="1"/>
  <c r="AE12" i="36"/>
  <c r="AC12" i="36"/>
  <c r="AD12" i="36" s="1"/>
  <c r="AB12" i="36"/>
  <c r="U12" i="36"/>
  <c r="R12" i="36"/>
  <c r="N12" i="36"/>
  <c r="O12" i="36" s="1"/>
  <c r="M12" i="36"/>
  <c r="K12" i="36"/>
  <c r="L12" i="36" s="1"/>
  <c r="J12" i="36"/>
  <c r="I12" i="36"/>
  <c r="H12" i="36"/>
  <c r="G12" i="36"/>
  <c r="E12" i="36"/>
  <c r="F12" i="36" s="1"/>
  <c r="D12" i="36"/>
  <c r="I11" i="36"/>
  <c r="F11" i="36"/>
  <c r="AG10" i="36"/>
  <c r="AD10" i="36"/>
  <c r="U10" i="36"/>
  <c r="R10" i="36"/>
  <c r="O10" i="36"/>
  <c r="L10" i="36"/>
  <c r="I10" i="36"/>
  <c r="F10" i="36"/>
  <c r="AG9" i="36"/>
  <c r="AD9" i="36"/>
  <c r="U9" i="36"/>
  <c r="R9" i="36"/>
  <c r="O9" i="36"/>
  <c r="L9" i="36"/>
  <c r="I9" i="36"/>
  <c r="F9" i="36"/>
  <c r="AG8" i="36"/>
  <c r="AD8" i="36"/>
  <c r="U8" i="36"/>
  <c r="R8" i="36"/>
  <c r="O8" i="36"/>
  <c r="L8" i="36"/>
  <c r="I8" i="36"/>
  <c r="F8" i="36"/>
  <c r="AG7" i="36"/>
  <c r="AD7" i="36"/>
  <c r="U7" i="36"/>
  <c r="R7" i="36"/>
  <c r="O7" i="36"/>
  <c r="L7" i="36"/>
  <c r="I7" i="36"/>
  <c r="F7" i="36"/>
  <c r="AI6" i="36"/>
  <c r="AJ6" i="36" s="1"/>
  <c r="AH6" i="36"/>
  <c r="AH5" i="36" s="1"/>
  <c r="AF6" i="36"/>
  <c r="AG6" i="36" s="1"/>
  <c r="AE6" i="36"/>
  <c r="AC6" i="36"/>
  <c r="AD6" i="36" s="1"/>
  <c r="AB6" i="36"/>
  <c r="U6" i="36"/>
  <c r="R6" i="36"/>
  <c r="N6" i="36"/>
  <c r="M6" i="36"/>
  <c r="O6" i="36" s="1"/>
  <c r="K6" i="36"/>
  <c r="J6" i="36"/>
  <c r="H6" i="36"/>
  <c r="G6" i="36"/>
  <c r="G5" i="36" s="1"/>
  <c r="E6" i="36"/>
  <c r="F6" i="36" s="1"/>
  <c r="D6" i="36"/>
  <c r="AF5" i="36"/>
  <c r="AE5" i="36"/>
  <c r="AG5" i="36" s="1"/>
  <c r="AC5" i="36"/>
  <c r="AB5" i="36"/>
  <c r="U5" i="36"/>
  <c r="R5" i="36"/>
  <c r="N5" i="36"/>
  <c r="O5" i="36" s="1"/>
  <c r="M5" i="36"/>
  <c r="K5" i="36"/>
  <c r="L5" i="36" s="1"/>
  <c r="J5" i="36"/>
  <c r="H5" i="36"/>
  <c r="E5" i="36"/>
  <c r="F5" i="36" s="1"/>
  <c r="D5" i="36"/>
  <c r="AD5" i="36" l="1"/>
  <c r="I6" i="36"/>
  <c r="L6" i="36"/>
  <c r="I5" i="36"/>
  <c r="AI5" i="36"/>
  <c r="AJ5" i="36" s="1"/>
  <c r="O114" i="34"/>
  <c r="N114" i="34"/>
  <c r="J114" i="34"/>
  <c r="G114" i="34"/>
  <c r="O113" i="34"/>
  <c r="N113" i="34"/>
  <c r="J113" i="34"/>
  <c r="M113" i="34" s="1"/>
  <c r="G113" i="34"/>
  <c r="O112" i="34"/>
  <c r="N112" i="34"/>
  <c r="M112" i="34"/>
  <c r="J112" i="34"/>
  <c r="G112" i="34"/>
  <c r="O111" i="34"/>
  <c r="N111" i="34"/>
  <c r="J111" i="34"/>
  <c r="G111" i="34"/>
  <c r="O110" i="34"/>
  <c r="N110" i="34"/>
  <c r="J110" i="34"/>
  <c r="G110" i="34"/>
  <c r="O109" i="34"/>
  <c r="N109" i="34"/>
  <c r="J109" i="34"/>
  <c r="G109" i="34"/>
  <c r="O108" i="34"/>
  <c r="N108" i="34"/>
  <c r="J108" i="34"/>
  <c r="M108" i="34" s="1"/>
  <c r="G108" i="34"/>
  <c r="O107" i="34"/>
  <c r="N107" i="34"/>
  <c r="J107" i="34"/>
  <c r="M107" i="34" s="1"/>
  <c r="G107" i="34"/>
  <c r="O106" i="34"/>
  <c r="N106" i="34"/>
  <c r="J106" i="34"/>
  <c r="M106" i="34" s="1"/>
  <c r="G106" i="34"/>
  <c r="O105" i="34"/>
  <c r="N105" i="34"/>
  <c r="J105" i="34"/>
  <c r="M105" i="34" s="1"/>
  <c r="G105" i="34"/>
  <c r="O104" i="34"/>
  <c r="N104" i="34"/>
  <c r="M104" i="34"/>
  <c r="O103" i="34"/>
  <c r="N103" i="34"/>
  <c r="M103" i="34"/>
  <c r="O102" i="34"/>
  <c r="N102" i="34"/>
  <c r="M102" i="34"/>
  <c r="O101" i="34"/>
  <c r="N101" i="34"/>
  <c r="M101" i="34"/>
  <c r="O100" i="34"/>
  <c r="N100" i="34"/>
  <c r="M100" i="34"/>
  <c r="J100" i="34"/>
  <c r="O99" i="34"/>
  <c r="N99" i="34"/>
  <c r="J99" i="34"/>
  <c r="G99" i="34"/>
  <c r="O98" i="34"/>
  <c r="N98" i="34"/>
  <c r="J98" i="34"/>
  <c r="G98" i="34"/>
  <c r="O97" i="34"/>
  <c r="N97" i="34"/>
  <c r="J97" i="34"/>
  <c r="G97" i="34"/>
  <c r="O96" i="34"/>
  <c r="N96" i="34"/>
  <c r="J96" i="34"/>
  <c r="G96" i="34"/>
  <c r="O57" i="34"/>
  <c r="N57" i="34"/>
  <c r="M57" i="34"/>
  <c r="M99" i="34" l="1"/>
  <c r="M111" i="34"/>
  <c r="M96" i="34"/>
  <c r="M97" i="34"/>
  <c r="M98" i="34"/>
  <c r="M109" i="34"/>
  <c r="M110" i="34"/>
  <c r="M114" i="34"/>
  <c r="C37" i="28"/>
  <c r="C25" i="28"/>
  <c r="C15" i="28"/>
  <c r="K12" i="28"/>
  <c r="K11" i="28"/>
  <c r="C7" i="28"/>
  <c r="C38" i="27"/>
  <c r="C31" i="27"/>
  <c r="C26" i="27"/>
  <c r="C16" i="27"/>
  <c r="C8" i="27"/>
  <c r="I30" i="25"/>
  <c r="H30" i="25"/>
  <c r="G30" i="25"/>
  <c r="I29" i="25"/>
  <c r="H29" i="25"/>
  <c r="G29" i="25"/>
  <c r="I28" i="25"/>
  <c r="H28" i="25"/>
  <c r="G28" i="25"/>
  <c r="I21" i="25"/>
  <c r="H21" i="25"/>
  <c r="G21" i="25"/>
  <c r="I20" i="25"/>
  <c r="H20" i="25"/>
  <c r="G20" i="25"/>
  <c r="I19" i="25"/>
  <c r="H19" i="25"/>
  <c r="G19" i="25"/>
  <c r="I13" i="25"/>
  <c r="H13" i="25"/>
  <c r="G13" i="25"/>
  <c r="I12" i="25"/>
  <c r="H12" i="25"/>
  <c r="G12" i="25"/>
  <c r="I11" i="25"/>
  <c r="H11" i="25"/>
  <c r="G11" i="25"/>
  <c r="I10" i="25"/>
  <c r="I9" i="25"/>
  <c r="I8" i="25"/>
  <c r="I7" i="25"/>
  <c r="I6" i="25"/>
  <c r="P13" i="24"/>
  <c r="P12" i="24"/>
  <c r="P11" i="24"/>
  <c r="P10" i="24"/>
  <c r="P9" i="24"/>
  <c r="P8" i="24"/>
  <c r="P7" i="24"/>
  <c r="P6" i="24"/>
  <c r="P5" i="24"/>
  <c r="K14" i="23"/>
  <c r="J14" i="23"/>
  <c r="M45" i="22"/>
  <c r="M44" i="22"/>
  <c r="M42" i="22"/>
  <c r="M41" i="22"/>
  <c r="M40" i="22"/>
  <c r="M39" i="22"/>
  <c r="M38" i="22"/>
  <c r="M37" i="22"/>
  <c r="M30" i="22"/>
  <c r="M29" i="22"/>
  <c r="M28" i="22"/>
  <c r="M27" i="22"/>
  <c r="M26" i="22"/>
  <c r="M25" i="22"/>
  <c r="M24" i="22"/>
  <c r="M23" i="22"/>
  <c r="M22" i="22"/>
  <c r="M15" i="22"/>
  <c r="M14" i="22"/>
  <c r="M13" i="22"/>
  <c r="M12" i="22"/>
  <c r="M11" i="22"/>
  <c r="M10" i="22"/>
  <c r="M9" i="22"/>
  <c r="M8" i="22"/>
  <c r="M7" i="22"/>
  <c r="B9" i="21"/>
  <c r="K9" i="21" s="1"/>
  <c r="K8" i="21"/>
  <c r="S52" i="19"/>
  <c r="G52" i="19"/>
  <c r="W28" i="19"/>
  <c r="T28" i="19"/>
  <c r="S28" i="19"/>
  <c r="P28" i="19"/>
  <c r="O28" i="19"/>
  <c r="J28" i="19"/>
  <c r="B28" i="19"/>
  <c r="W27" i="19"/>
  <c r="S27" i="19"/>
  <c r="O27" i="19"/>
  <c r="J27" i="19"/>
  <c r="B27" i="19"/>
  <c r="X26" i="19"/>
  <c r="W26" i="19"/>
  <c r="T26" i="19"/>
  <c r="S26" i="19"/>
  <c r="P26" i="19"/>
  <c r="O26" i="19"/>
  <c r="X25" i="19"/>
  <c r="W25" i="19"/>
  <c r="T25" i="19"/>
  <c r="S25" i="19"/>
  <c r="P25" i="19"/>
  <c r="O25" i="19"/>
  <c r="X24" i="19"/>
  <c r="W24" i="19"/>
  <c r="T24" i="19"/>
  <c r="S24" i="19"/>
  <c r="P24" i="19"/>
  <c r="O24" i="19"/>
  <c r="X23" i="19"/>
  <c r="W23" i="19"/>
  <c r="T23" i="19"/>
  <c r="S23" i="19"/>
  <c r="P23" i="19"/>
  <c r="O23" i="19"/>
  <c r="X22" i="19"/>
  <c r="W22" i="19"/>
  <c r="T22" i="19"/>
  <c r="S22" i="19"/>
  <c r="P22" i="19"/>
  <c r="O22" i="19"/>
  <c r="X21" i="19"/>
  <c r="W21" i="19"/>
  <c r="T21" i="19"/>
  <c r="S21" i="19"/>
  <c r="P21" i="19"/>
  <c r="O21" i="19"/>
  <c r="J21" i="19"/>
  <c r="B21" i="19"/>
  <c r="X20" i="19"/>
  <c r="W20" i="19"/>
  <c r="T20" i="19"/>
  <c r="S20" i="19"/>
  <c r="P20" i="19"/>
  <c r="O20" i="19"/>
  <c r="X19" i="19"/>
  <c r="W19" i="19"/>
  <c r="T19" i="19"/>
  <c r="S19" i="19"/>
  <c r="P19" i="19"/>
  <c r="O19" i="19"/>
  <c r="J19" i="19"/>
  <c r="B19" i="19"/>
  <c r="X18" i="19"/>
  <c r="W18" i="19"/>
  <c r="T18" i="19"/>
  <c r="S18" i="19"/>
  <c r="P18" i="19"/>
  <c r="O18" i="19"/>
  <c r="J18" i="19"/>
  <c r="B18" i="19"/>
  <c r="X17" i="19"/>
  <c r="W17" i="19"/>
  <c r="T17" i="19"/>
  <c r="S17" i="19"/>
  <c r="P17" i="19"/>
  <c r="O17" i="19"/>
  <c r="J17" i="19"/>
  <c r="B17" i="19"/>
  <c r="W16" i="19"/>
  <c r="T16" i="19"/>
  <c r="S16" i="19"/>
  <c r="P16" i="19"/>
  <c r="O16" i="19"/>
  <c r="W15" i="19"/>
  <c r="T15" i="19"/>
  <c r="S15" i="19"/>
  <c r="P15" i="19"/>
  <c r="O15" i="19"/>
  <c r="J15" i="19"/>
  <c r="W14" i="19"/>
  <c r="S14" i="19"/>
  <c r="O14" i="19"/>
  <c r="J14" i="19"/>
  <c r="B14" i="19"/>
  <c r="X13" i="19"/>
  <c r="W13" i="19"/>
  <c r="T13" i="19"/>
  <c r="S13" i="19"/>
  <c r="P13" i="19"/>
  <c r="O13" i="19"/>
  <c r="J13" i="19"/>
  <c r="B13" i="19"/>
  <c r="X12" i="19"/>
  <c r="W12" i="19"/>
  <c r="T12" i="19"/>
  <c r="S12" i="19"/>
  <c r="P12" i="19"/>
  <c r="O12" i="19"/>
  <c r="J12" i="19"/>
  <c r="B12" i="19"/>
  <c r="W11" i="19"/>
  <c r="S11" i="19"/>
  <c r="O11" i="19"/>
  <c r="J11" i="19"/>
  <c r="B11" i="19"/>
  <c r="W10" i="19"/>
  <c r="S10" i="19"/>
  <c r="O10" i="19"/>
  <c r="B10" i="19"/>
  <c r="Y9" i="19"/>
  <c r="W9" i="19"/>
  <c r="V9" i="19"/>
  <c r="U9" i="19"/>
  <c r="T9" i="19"/>
  <c r="S9" i="19"/>
  <c r="R9" i="19"/>
  <c r="Q9" i="19"/>
  <c r="P9" i="19"/>
  <c r="O9" i="19"/>
  <c r="N9" i="19"/>
  <c r="J9" i="19"/>
  <c r="B9" i="19"/>
  <c r="X8" i="19"/>
  <c r="W8" i="19"/>
  <c r="T8" i="19"/>
  <c r="S8" i="19"/>
  <c r="P8" i="19"/>
  <c r="O8" i="19"/>
  <c r="J8" i="19"/>
  <c r="B8" i="19"/>
  <c r="X7" i="19"/>
  <c r="W7" i="19"/>
  <c r="T7" i="19"/>
  <c r="S7" i="19"/>
  <c r="P7" i="19"/>
  <c r="O7" i="19"/>
  <c r="J7" i="19"/>
  <c r="T14" i="18" l="1"/>
  <c r="S14" i="18"/>
  <c r="R14" i="18"/>
  <c r="T10" i="18"/>
  <c r="S10" i="18"/>
  <c r="R10" i="18"/>
  <c r="T8" i="18"/>
  <c r="T6" i="18" s="1"/>
  <c r="T5" i="18" s="1"/>
  <c r="S8" i="18"/>
  <c r="S6" i="18" s="1"/>
  <c r="S5" i="18" s="1"/>
  <c r="R8" i="18"/>
  <c r="R6" i="18"/>
  <c r="R5" i="18" s="1"/>
  <c r="N5" i="18"/>
  <c r="M5" i="18"/>
  <c r="L5" i="18"/>
  <c r="K5" i="18"/>
  <c r="J5" i="18"/>
  <c r="I5" i="18"/>
  <c r="K41" i="17" l="1"/>
  <c r="J41" i="17"/>
  <c r="I41" i="17"/>
  <c r="H41" i="17"/>
  <c r="G41" i="17"/>
  <c r="F41" i="17"/>
  <c r="E41" i="17"/>
  <c r="D41" i="17"/>
  <c r="C41" i="17"/>
  <c r="K38" i="17"/>
  <c r="J38" i="17"/>
  <c r="I38" i="17"/>
  <c r="H38" i="17"/>
  <c r="G38" i="17"/>
  <c r="F38" i="17"/>
  <c r="E38" i="17"/>
  <c r="D38" i="17"/>
  <c r="C38" i="17"/>
  <c r="K35" i="17"/>
  <c r="J35" i="17"/>
  <c r="I35" i="17"/>
  <c r="H35" i="17"/>
  <c r="G35" i="17"/>
  <c r="F35" i="17"/>
  <c r="E35" i="17"/>
  <c r="D35" i="17"/>
  <c r="C35" i="17"/>
  <c r="P28" i="13"/>
  <c r="R28" i="13" s="1"/>
  <c r="M28" i="13"/>
  <c r="I28" i="13"/>
  <c r="E28" i="13"/>
  <c r="Q27" i="13"/>
  <c r="P27" i="13"/>
  <c r="R27" i="13" s="1"/>
  <c r="M27" i="13"/>
  <c r="I27" i="13"/>
  <c r="E27" i="13"/>
  <c r="R26" i="13"/>
  <c r="P26" i="13"/>
  <c r="M26" i="13"/>
  <c r="I26" i="13"/>
  <c r="E26" i="13"/>
  <c r="Q25" i="13"/>
  <c r="P25" i="13"/>
  <c r="R25" i="13" s="1"/>
  <c r="M25" i="13"/>
  <c r="I25" i="13"/>
  <c r="E25" i="13"/>
  <c r="R24" i="13"/>
  <c r="P24" i="13"/>
  <c r="M24" i="13"/>
  <c r="I24" i="13"/>
  <c r="E24" i="13"/>
  <c r="Q23" i="13"/>
  <c r="P23" i="13"/>
  <c r="R23" i="13" s="1"/>
  <c r="M23" i="13"/>
  <c r="I23" i="13"/>
  <c r="E23" i="13"/>
  <c r="R22" i="13"/>
  <c r="P22" i="13"/>
  <c r="M22" i="13"/>
  <c r="I22" i="13"/>
  <c r="E22" i="13"/>
  <c r="Q21" i="13"/>
  <c r="P21" i="13"/>
  <c r="R21" i="13" s="1"/>
  <c r="M21" i="13"/>
  <c r="I21" i="13"/>
  <c r="E21" i="13"/>
  <c r="R20" i="13"/>
  <c r="P20" i="13"/>
  <c r="M20" i="13"/>
  <c r="I20" i="13"/>
  <c r="E20" i="13"/>
  <c r="Q19" i="13"/>
  <c r="P19" i="13"/>
  <c r="R19" i="13" s="1"/>
  <c r="M19" i="13"/>
  <c r="I19" i="13"/>
  <c r="E19" i="13"/>
  <c r="R18" i="13"/>
  <c r="P18" i="13"/>
  <c r="M18" i="13"/>
  <c r="I18" i="13"/>
  <c r="E18" i="13"/>
  <c r="Q17" i="13"/>
  <c r="P17" i="13"/>
  <c r="R17" i="13" s="1"/>
  <c r="M17" i="13"/>
  <c r="I17" i="13"/>
  <c r="E17" i="13"/>
  <c r="R16" i="13"/>
  <c r="P16" i="13"/>
  <c r="M16" i="13"/>
  <c r="I16" i="13"/>
  <c r="E16" i="13"/>
  <c r="Q15" i="13"/>
  <c r="P15" i="13"/>
  <c r="R15" i="13" s="1"/>
  <c r="M15" i="13"/>
  <c r="I15" i="13"/>
  <c r="E15" i="13"/>
  <c r="R14" i="13"/>
  <c r="P14" i="13"/>
  <c r="M14" i="13"/>
  <c r="I14" i="13"/>
  <c r="E14" i="13"/>
  <c r="Q13" i="13"/>
  <c r="P13" i="13"/>
  <c r="R13" i="13" s="1"/>
  <c r="M13" i="13"/>
  <c r="I13" i="13"/>
  <c r="E13" i="13"/>
  <c r="R12" i="13"/>
  <c r="P12" i="13"/>
  <c r="M12" i="13"/>
  <c r="I12" i="13"/>
  <c r="E12" i="13"/>
  <c r="Q11" i="13"/>
  <c r="P11" i="13"/>
  <c r="R11" i="13" s="1"/>
  <c r="M11" i="13"/>
  <c r="I11" i="13"/>
  <c r="E11" i="13"/>
  <c r="R10" i="13"/>
  <c r="P10" i="13"/>
  <c r="M10" i="13"/>
  <c r="I10" i="13"/>
  <c r="E10" i="13"/>
  <c r="Q9" i="13"/>
  <c r="P9" i="13"/>
  <c r="R9" i="13" s="1"/>
  <c r="M9" i="13"/>
  <c r="I9" i="13"/>
  <c r="E9" i="13"/>
  <c r="R8" i="13"/>
  <c r="P8" i="13"/>
  <c r="M8" i="13"/>
  <c r="I8" i="13"/>
  <c r="E8" i="13"/>
  <c r="Q7" i="13"/>
  <c r="P7" i="13"/>
  <c r="R7" i="13" s="1"/>
  <c r="M7" i="13"/>
  <c r="I7" i="13"/>
  <c r="E7" i="13"/>
  <c r="P6" i="13"/>
  <c r="R6" i="13" s="1"/>
  <c r="O6" i="13"/>
  <c r="N6" i="13"/>
  <c r="Q8" i="13" l="1"/>
  <c r="Q6" i="13" s="1"/>
  <c r="Q10" i="13"/>
  <c r="Q12" i="13"/>
  <c r="Q14" i="13"/>
  <c r="Q16" i="13"/>
  <c r="Q18" i="13"/>
  <c r="Q20" i="13"/>
  <c r="Q22" i="13"/>
  <c r="Q24" i="13"/>
  <c r="Q26" i="13"/>
  <c r="Q28" i="13"/>
  <c r="C29" i="12" l="1"/>
  <c r="C26" i="12"/>
  <c r="C25" i="12"/>
  <c r="C24" i="12"/>
  <c r="C23" i="12"/>
  <c r="G21" i="10" l="1"/>
  <c r="C21" i="10"/>
  <c r="AC19" i="10"/>
  <c r="AB19" i="10"/>
  <c r="AA19" i="10"/>
  <c r="Z19" i="10"/>
  <c r="AC18" i="10"/>
  <c r="AB18" i="10"/>
  <c r="Z18" i="10"/>
  <c r="W18" i="10"/>
  <c r="S18" i="10"/>
  <c r="AC17" i="10"/>
  <c r="AB17" i="10"/>
  <c r="Z17" i="10"/>
  <c r="W17" i="10"/>
  <c r="S17" i="10"/>
  <c r="AA17" i="10" s="1"/>
  <c r="AC16" i="10"/>
  <c r="AB16" i="10"/>
  <c r="Z16" i="10"/>
  <c r="W16" i="10"/>
  <c r="S16" i="10"/>
  <c r="AC15" i="10"/>
  <c r="AB15" i="10"/>
  <c r="Z15" i="10"/>
  <c r="W15" i="10"/>
  <c r="S15" i="10"/>
  <c r="AA15" i="10" s="1"/>
  <c r="AC14" i="10"/>
  <c r="AB14" i="10"/>
  <c r="Z14" i="10"/>
  <c r="W14" i="10"/>
  <c r="S14" i="10"/>
  <c r="AC13" i="10"/>
  <c r="AB13" i="10"/>
  <c r="AA13" i="10"/>
  <c r="Z13" i="10"/>
  <c r="W13" i="10"/>
  <c r="S13" i="10"/>
  <c r="AC12" i="10"/>
  <c r="AB12" i="10"/>
  <c r="Z12" i="10"/>
  <c r="W12" i="10"/>
  <c r="S12" i="10"/>
  <c r="AC11" i="10"/>
  <c r="AB11" i="10"/>
  <c r="Z11" i="10"/>
  <c r="W11" i="10"/>
  <c r="S11" i="10"/>
  <c r="AA11" i="10" s="1"/>
  <c r="AC10" i="10"/>
  <c r="AB10" i="10"/>
  <c r="Z10" i="10"/>
  <c r="W10" i="10"/>
  <c r="S10" i="10"/>
  <c r="AC9" i="10"/>
  <c r="AB9" i="10"/>
  <c r="Z9" i="10"/>
  <c r="W9" i="10"/>
  <c r="AA9" i="10" s="1"/>
  <c r="S9" i="10"/>
  <c r="AC8" i="10"/>
  <c r="AB8" i="10"/>
  <c r="Z8" i="10"/>
  <c r="W8" i="10"/>
  <c r="S8" i="10"/>
  <c r="AC7" i="10"/>
  <c r="AB7" i="10"/>
  <c r="Z7" i="10"/>
  <c r="W7" i="10"/>
  <c r="S7" i="10"/>
  <c r="AA7" i="10" s="1"/>
  <c r="AC6" i="10"/>
  <c r="AB6" i="10"/>
  <c r="Z6" i="10"/>
  <c r="W6" i="10"/>
  <c r="S6" i="10"/>
  <c r="AC5" i="10"/>
  <c r="AB5" i="10"/>
  <c r="AA5" i="10"/>
  <c r="Z5" i="10"/>
  <c r="W5" i="10"/>
  <c r="S5" i="10"/>
  <c r="AA6" i="10" l="1"/>
  <c r="AA8" i="10"/>
  <c r="AA10" i="10"/>
  <c r="AA12" i="10"/>
  <c r="AA14" i="10"/>
  <c r="AA16" i="10"/>
  <c r="AA18" i="10"/>
  <c r="M15" i="9" l="1"/>
  <c r="L15" i="9"/>
  <c r="K15" i="9"/>
  <c r="J15" i="9"/>
  <c r="I15" i="9"/>
  <c r="H15" i="9"/>
  <c r="G15" i="9"/>
  <c r="M13" i="9"/>
  <c r="L13" i="9"/>
  <c r="K13" i="9"/>
  <c r="J13" i="9"/>
  <c r="I13" i="9"/>
  <c r="H13" i="9"/>
  <c r="G13" i="9"/>
  <c r="M12" i="9"/>
  <c r="L12" i="9"/>
  <c r="K12" i="9"/>
  <c r="J12" i="9"/>
  <c r="I12" i="9"/>
  <c r="H12" i="9"/>
  <c r="G12" i="9"/>
  <c r="M11" i="9"/>
  <c r="L11" i="9"/>
  <c r="K11" i="9"/>
  <c r="J11" i="9"/>
  <c r="I11" i="9"/>
  <c r="H11" i="9"/>
  <c r="G11" i="9"/>
  <c r="M10" i="9"/>
  <c r="L10" i="9"/>
  <c r="K10" i="9"/>
  <c r="J10" i="9"/>
  <c r="I10" i="9"/>
  <c r="H10" i="9"/>
  <c r="G10" i="9"/>
  <c r="M9" i="9"/>
  <c r="L9" i="9"/>
  <c r="K9" i="9"/>
  <c r="J9" i="9"/>
  <c r="I9" i="9"/>
  <c r="H9" i="9"/>
  <c r="G9" i="9"/>
  <c r="M8" i="9"/>
  <c r="L8" i="9"/>
  <c r="K8" i="9"/>
  <c r="J8" i="9"/>
  <c r="I8" i="9"/>
  <c r="H8" i="9"/>
  <c r="G8" i="9"/>
  <c r="M7" i="9"/>
  <c r="L7" i="9"/>
  <c r="K7" i="9"/>
  <c r="J7" i="9"/>
  <c r="I7" i="9"/>
  <c r="H7" i="9"/>
  <c r="G7" i="9"/>
  <c r="K15" i="3" l="1"/>
  <c r="J15" i="3"/>
  <c r="I15" i="3"/>
  <c r="H15" i="3"/>
  <c r="G15" i="3"/>
  <c r="F15" i="3"/>
  <c r="E15" i="3"/>
  <c r="D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西澤　勲</author>
    <author>FJ-USER</author>
  </authors>
  <commentList>
    <comment ref="T5" authorId="0" shapeId="0" xr:uid="{FAF85838-32EC-41E5-A6E7-06FEA24C5694}">
      <text>
        <r>
          <rPr>
            <sz val="9"/>
            <color indexed="81"/>
            <rFont val="MS P ゴシック"/>
            <family val="3"/>
            <charset val="128"/>
          </rPr>
          <t>普通会計ベース+後期広域派遣職員人件費
2,914,215となるはずだが、既公表資料では
扶助費に計上しているため合わせる。</t>
        </r>
      </text>
    </comment>
    <comment ref="N6" authorId="1" shapeId="0" xr:uid="{EBFB2231-4F1D-46CE-A5BD-65B30A093B07}">
      <text>
        <r>
          <rPr>
            <sz val="9"/>
            <color indexed="81"/>
            <rFont val="ＭＳ Ｐゴシック"/>
            <family val="3"/>
            <charset val="128"/>
          </rPr>
          <t>決算統計数値に
授産所負担金と
後期広域人件費を足している。
（後期人件費は人件費に足すべき）</t>
        </r>
      </text>
    </comment>
    <comment ref="T6" authorId="0" shapeId="0" xr:uid="{5A629256-94F5-4242-ABFC-D706F25F9F44}">
      <text>
        <r>
          <rPr>
            <sz val="9"/>
            <color indexed="81"/>
            <rFont val="MS P ゴシック"/>
            <family val="3"/>
            <charset val="128"/>
          </rPr>
          <t xml:space="preserve">普通会計ベース+授産所費
</t>
        </r>
      </text>
    </comment>
  </commentList>
</comments>
</file>

<file path=xl/sharedStrings.xml><?xml version="1.0" encoding="utf-8"?>
<sst xmlns="http://schemas.openxmlformats.org/spreadsheetml/2006/main" count="9625" uniqueCount="3721">
  <si>
    <t>位　置　と　面　積</t>
    <rPh sb="0" eb="1">
      <t>クライ</t>
    </rPh>
    <rPh sb="2" eb="3">
      <t>チ</t>
    </rPh>
    <rPh sb="6" eb="7">
      <t>メン</t>
    </rPh>
    <rPh sb="8" eb="9">
      <t>セキ</t>
    </rPh>
    <phoneticPr fontId="5"/>
  </si>
  <si>
    <t>令和4年10月1日現在</t>
    <rPh sb="0" eb="2">
      <t>レイワ</t>
    </rPh>
    <rPh sb="3" eb="4">
      <t>ネン</t>
    </rPh>
    <rPh sb="6" eb="7">
      <t>ガツ</t>
    </rPh>
    <rPh sb="8" eb="9">
      <t>ニチ</t>
    </rPh>
    <rPh sb="9" eb="11">
      <t>ゲンザイ</t>
    </rPh>
    <phoneticPr fontId="5"/>
  </si>
  <si>
    <t>位　　置</t>
    <rPh sb="0" eb="1">
      <t>クライ</t>
    </rPh>
    <rPh sb="3" eb="4">
      <t>オキ</t>
    </rPh>
    <phoneticPr fontId="5"/>
  </si>
  <si>
    <t>東　　経</t>
    <rPh sb="0" eb="1">
      <t>ヒガシ</t>
    </rPh>
    <rPh sb="3" eb="4">
      <t>キョウ</t>
    </rPh>
    <phoneticPr fontId="5"/>
  </si>
  <si>
    <t>北　　緯</t>
    <rPh sb="0" eb="1">
      <t>キタ</t>
    </rPh>
    <rPh sb="3" eb="4">
      <t>イ</t>
    </rPh>
    <phoneticPr fontId="5"/>
  </si>
  <si>
    <t>標　　高</t>
    <rPh sb="0" eb="1">
      <t>ヒョウ</t>
    </rPh>
    <rPh sb="3" eb="4">
      <t>コウ</t>
    </rPh>
    <phoneticPr fontId="5"/>
  </si>
  <si>
    <t>大町市役所</t>
    <rPh sb="0" eb="2">
      <t>オオマチ</t>
    </rPh>
    <rPh sb="2" eb="5">
      <t>シヤクショ</t>
    </rPh>
    <phoneticPr fontId="5"/>
  </si>
  <si>
    <t>１３７°５１′　３″</t>
    <phoneticPr fontId="5"/>
  </si>
  <si>
    <t>　３６°３０′１０″</t>
    <phoneticPr fontId="5"/>
  </si>
  <si>
    <t>７２６ｍ</t>
    <phoneticPr fontId="5"/>
  </si>
  <si>
    <t>八坂支所</t>
    <rPh sb="0" eb="1">
      <t>ハチ</t>
    </rPh>
    <rPh sb="1" eb="2">
      <t>サカ</t>
    </rPh>
    <rPh sb="2" eb="3">
      <t>ササ</t>
    </rPh>
    <rPh sb="3" eb="4">
      <t>ショ</t>
    </rPh>
    <phoneticPr fontId="5"/>
  </si>
  <si>
    <t>１３７°５５′　２″</t>
    <phoneticPr fontId="5"/>
  </si>
  <si>
    <t>　３６°２９′　７″</t>
    <phoneticPr fontId="5"/>
  </si>
  <si>
    <t>７１０ｍ</t>
    <phoneticPr fontId="5"/>
  </si>
  <si>
    <t>美麻支所</t>
    <rPh sb="0" eb="2">
      <t>ミアサ</t>
    </rPh>
    <rPh sb="2" eb="4">
      <t>シショ</t>
    </rPh>
    <phoneticPr fontId="5"/>
  </si>
  <si>
    <t>１３７°５３′３８″</t>
    <phoneticPr fontId="5"/>
  </si>
  <si>
    <t>　３６°４３′１３″</t>
    <phoneticPr fontId="5"/>
  </si>
  <si>
    <t>８７２ｍ</t>
    <phoneticPr fontId="5"/>
  </si>
  <si>
    <t>大　　町　　市　　面　　積</t>
    <rPh sb="0" eb="7">
      <t>オオマチシ</t>
    </rPh>
    <rPh sb="9" eb="13">
      <t>メンセキ</t>
    </rPh>
    <phoneticPr fontId="5"/>
  </si>
  <si>
    <t>５６５．１５ｋ㎡</t>
    <phoneticPr fontId="5"/>
  </si>
  <si>
    <t>資料：企画財政課</t>
    <rPh sb="0" eb="2">
      <t>シリョウ</t>
    </rPh>
    <rPh sb="3" eb="5">
      <t>キカク</t>
    </rPh>
    <rPh sb="5" eb="7">
      <t>ザイセイ</t>
    </rPh>
    <rPh sb="7" eb="8">
      <t>カ</t>
    </rPh>
    <phoneticPr fontId="5"/>
  </si>
  <si>
    <t>地目別土地面積</t>
    <rPh sb="0" eb="2">
      <t>チモク</t>
    </rPh>
    <rPh sb="2" eb="3">
      <t>ベツ</t>
    </rPh>
    <rPh sb="3" eb="5">
      <t>トチ</t>
    </rPh>
    <rPh sb="5" eb="7">
      <t>メンセキ</t>
    </rPh>
    <phoneticPr fontId="5"/>
  </si>
  <si>
    <t>各年1月1日現在</t>
    <rPh sb="0" eb="2">
      <t>カクネン</t>
    </rPh>
    <phoneticPr fontId="5"/>
  </si>
  <si>
    <t>単位：k㎡　％</t>
    <rPh sb="0" eb="2">
      <t>タンイ</t>
    </rPh>
    <phoneticPr fontId="5"/>
  </si>
  <si>
    <t>項目</t>
    <rPh sb="0" eb="2">
      <t>コウモク</t>
    </rPh>
    <phoneticPr fontId="5"/>
  </si>
  <si>
    <t>総数</t>
    <rPh sb="0" eb="2">
      <t>ソウスウ</t>
    </rPh>
    <phoneticPr fontId="5"/>
  </si>
  <si>
    <t>田</t>
    <rPh sb="0" eb="1">
      <t>デン</t>
    </rPh>
    <phoneticPr fontId="5"/>
  </si>
  <si>
    <t>畑</t>
    <rPh sb="0" eb="1">
      <t>ハタ</t>
    </rPh>
    <phoneticPr fontId="5"/>
  </si>
  <si>
    <t>宅地</t>
    <rPh sb="0" eb="2">
      <t>タクチ</t>
    </rPh>
    <phoneticPr fontId="5"/>
  </si>
  <si>
    <t>山林</t>
    <rPh sb="0" eb="1">
      <t>ヤマ</t>
    </rPh>
    <rPh sb="1" eb="2">
      <t>ハヤシ</t>
    </rPh>
    <phoneticPr fontId="5"/>
  </si>
  <si>
    <t>原野</t>
    <rPh sb="0" eb="1">
      <t>ハラ</t>
    </rPh>
    <rPh sb="1" eb="2">
      <t>ノ</t>
    </rPh>
    <phoneticPr fontId="5"/>
  </si>
  <si>
    <t>池沼</t>
    <rPh sb="0" eb="1">
      <t>イケ</t>
    </rPh>
    <rPh sb="1" eb="2">
      <t>ヌマ</t>
    </rPh>
    <phoneticPr fontId="5"/>
  </si>
  <si>
    <t>雑種地</t>
    <rPh sb="0" eb="2">
      <t>ザッシュ</t>
    </rPh>
    <rPh sb="2" eb="3">
      <t>チ</t>
    </rPh>
    <phoneticPr fontId="5"/>
  </si>
  <si>
    <t>その他</t>
    <rPh sb="2" eb="3">
      <t>タ</t>
    </rPh>
    <phoneticPr fontId="5"/>
  </si>
  <si>
    <t>平成25年</t>
  </si>
  <si>
    <t>面積</t>
    <rPh sb="0" eb="2">
      <t>メンセキ</t>
    </rPh>
    <phoneticPr fontId="5"/>
  </si>
  <si>
    <t>構成比</t>
    <rPh sb="0" eb="3">
      <t>コウセイヒ</t>
    </rPh>
    <phoneticPr fontId="5"/>
  </si>
  <si>
    <t>平成26年</t>
  </si>
  <si>
    <t>平成27年</t>
  </si>
  <si>
    <t>平成28年</t>
  </si>
  <si>
    <t>平成29年</t>
    <rPh sb="0" eb="2">
      <t>ヘイセイ</t>
    </rPh>
    <rPh sb="4" eb="5">
      <t>ネン</t>
    </rPh>
    <phoneticPr fontId="5"/>
  </si>
  <si>
    <t>平成30年</t>
    <rPh sb="0" eb="2">
      <t>ヘイセイ</t>
    </rPh>
    <rPh sb="4" eb="5">
      <t>ネン</t>
    </rPh>
    <phoneticPr fontId="5"/>
  </si>
  <si>
    <t>平成31年</t>
    <rPh sb="0" eb="2">
      <t>ヘイセイ</t>
    </rPh>
    <rPh sb="4" eb="5">
      <t>ネン</t>
    </rPh>
    <phoneticPr fontId="5"/>
  </si>
  <si>
    <t>令和2年</t>
    <rPh sb="0" eb="2">
      <t>レイワ</t>
    </rPh>
    <rPh sb="3" eb="4">
      <t>ネン</t>
    </rPh>
    <phoneticPr fontId="5"/>
  </si>
  <si>
    <t>令和3年</t>
    <rPh sb="0" eb="2">
      <t>レイワ</t>
    </rPh>
    <rPh sb="3" eb="4">
      <t>ネン</t>
    </rPh>
    <phoneticPr fontId="5"/>
  </si>
  <si>
    <t>令和4年</t>
    <rPh sb="0" eb="2">
      <t>レイワ</t>
    </rPh>
    <rPh sb="3" eb="4">
      <t>ネン</t>
    </rPh>
    <phoneticPr fontId="5"/>
  </si>
  <si>
    <t>令和5年</t>
    <rPh sb="0" eb="2">
      <t>レイワ</t>
    </rPh>
    <rPh sb="3" eb="4">
      <t>ネン</t>
    </rPh>
    <phoneticPr fontId="5"/>
  </si>
  <si>
    <t>資料：税務課</t>
    <rPh sb="0" eb="2">
      <t>シリョウ</t>
    </rPh>
    <rPh sb="3" eb="6">
      <t>ゼイムカ</t>
    </rPh>
    <phoneticPr fontId="5"/>
  </si>
  <si>
    <t>年次別気象概況</t>
    <rPh sb="0" eb="2">
      <t>ネンジ</t>
    </rPh>
    <rPh sb="2" eb="3">
      <t>ベツ</t>
    </rPh>
    <rPh sb="3" eb="5">
      <t>キショウ</t>
    </rPh>
    <rPh sb="5" eb="7">
      <t>ガイキョウ</t>
    </rPh>
    <phoneticPr fontId="5"/>
  </si>
  <si>
    <t>年　　次</t>
    <rPh sb="0" eb="1">
      <t>トシ</t>
    </rPh>
    <rPh sb="3" eb="4">
      <t>ツギ</t>
    </rPh>
    <phoneticPr fontId="5"/>
  </si>
  <si>
    <t>気              温</t>
    <rPh sb="0" eb="1">
      <t>キ</t>
    </rPh>
    <rPh sb="15" eb="16">
      <t>アツシ</t>
    </rPh>
    <phoneticPr fontId="5"/>
  </si>
  <si>
    <t>天　気　日　数</t>
    <rPh sb="0" eb="1">
      <t>テン</t>
    </rPh>
    <rPh sb="2" eb="3">
      <t>キ</t>
    </rPh>
    <rPh sb="4" eb="5">
      <t>ヒ</t>
    </rPh>
    <rPh sb="6" eb="7">
      <t>カズ</t>
    </rPh>
    <phoneticPr fontId="5"/>
  </si>
  <si>
    <t>風　向　風　速</t>
    <rPh sb="0" eb="1">
      <t>カゼ</t>
    </rPh>
    <rPh sb="2" eb="3">
      <t>ムカイ</t>
    </rPh>
    <rPh sb="4" eb="5">
      <t>カゼ</t>
    </rPh>
    <rPh sb="6" eb="7">
      <t>ソク</t>
    </rPh>
    <phoneticPr fontId="5"/>
  </si>
  <si>
    <t>降　水　量</t>
    <rPh sb="0" eb="1">
      <t>ゴウ</t>
    </rPh>
    <rPh sb="2" eb="3">
      <t>ミズ</t>
    </rPh>
    <rPh sb="4" eb="5">
      <t>リョウ</t>
    </rPh>
    <phoneticPr fontId="5"/>
  </si>
  <si>
    <t>日照時間</t>
    <rPh sb="0" eb="4">
      <t>ニッショウジカン</t>
    </rPh>
    <phoneticPr fontId="5"/>
  </si>
  <si>
    <t>平  均</t>
    <rPh sb="0" eb="1">
      <t>ヒラ</t>
    </rPh>
    <rPh sb="3" eb="4">
      <t>ヒトシ</t>
    </rPh>
    <phoneticPr fontId="5"/>
  </si>
  <si>
    <t>最  高</t>
    <rPh sb="0" eb="1">
      <t>サイ</t>
    </rPh>
    <rPh sb="3" eb="4">
      <t>タカ</t>
    </rPh>
    <phoneticPr fontId="5"/>
  </si>
  <si>
    <t>最  低</t>
    <rPh sb="0" eb="1">
      <t>サイ</t>
    </rPh>
    <rPh sb="3" eb="4">
      <t>テイ</t>
    </rPh>
    <phoneticPr fontId="5"/>
  </si>
  <si>
    <t>快  晴</t>
    <rPh sb="0" eb="1">
      <t>カイ</t>
    </rPh>
    <rPh sb="3" eb="4">
      <t>ハレ</t>
    </rPh>
    <phoneticPr fontId="5"/>
  </si>
  <si>
    <t>曇　天</t>
    <rPh sb="0" eb="1">
      <t>クモリ</t>
    </rPh>
    <rPh sb="2" eb="3">
      <t>テン</t>
    </rPh>
    <phoneticPr fontId="5"/>
  </si>
  <si>
    <t>最  大</t>
    <rPh sb="0" eb="1">
      <t>サイ</t>
    </rPh>
    <rPh sb="3" eb="4">
      <t>ダイ</t>
    </rPh>
    <phoneticPr fontId="5"/>
  </si>
  <si>
    <t>総  量</t>
    <rPh sb="0" eb="1">
      <t>フサ</t>
    </rPh>
    <rPh sb="3" eb="4">
      <t>リョウ</t>
    </rPh>
    <phoneticPr fontId="5"/>
  </si>
  <si>
    <t>最　大
日　量</t>
    <rPh sb="0" eb="1">
      <t>サイ</t>
    </rPh>
    <rPh sb="2" eb="3">
      <t>ダイ</t>
    </rPh>
    <rPh sb="4" eb="5">
      <t>ヒ</t>
    </rPh>
    <rPh sb="6" eb="7">
      <t>リョウ</t>
    </rPh>
    <phoneticPr fontId="5"/>
  </si>
  <si>
    <t>℃</t>
  </si>
  <si>
    <t>日</t>
    <rPh sb="0" eb="1">
      <t>ニチ</t>
    </rPh>
    <phoneticPr fontId="5"/>
  </si>
  <si>
    <t>m/s</t>
  </si>
  <si>
    <t>mm</t>
  </si>
  <si>
    <t>h</t>
    <phoneticPr fontId="5"/>
  </si>
  <si>
    <t>平成23年</t>
    <rPh sb="0" eb="2">
      <t>ヘイセイ</t>
    </rPh>
    <rPh sb="4" eb="5">
      <t>ネン</t>
    </rPh>
    <phoneticPr fontId="5"/>
  </si>
  <si>
    <t>…</t>
    <phoneticPr fontId="5"/>
  </si>
  <si>
    <t>WSW12.1</t>
    <phoneticPr fontId="5"/>
  </si>
  <si>
    <t>WNW11.5</t>
    <phoneticPr fontId="5"/>
  </si>
  <si>
    <t>W11.8</t>
    <phoneticPr fontId="5"/>
  </si>
  <si>
    <t>…</t>
  </si>
  <si>
    <t>W11.0</t>
  </si>
  <si>
    <t>N10.9</t>
    <phoneticPr fontId="5"/>
  </si>
  <si>
    <t>W12.3</t>
  </si>
  <si>
    <t>WSW8.0</t>
  </si>
  <si>
    <t>NNE12.7</t>
  </si>
  <si>
    <t>令和元年</t>
    <rPh sb="0" eb="2">
      <t>レイワ</t>
    </rPh>
    <rPh sb="2" eb="4">
      <t>ガンネン</t>
    </rPh>
    <phoneticPr fontId="5"/>
  </si>
  <si>
    <t>W12.4</t>
    <phoneticPr fontId="5"/>
  </si>
  <si>
    <t>N12.2</t>
    <phoneticPr fontId="5"/>
  </si>
  <si>
    <t>西12.9</t>
    <rPh sb="0" eb="1">
      <t>ニシ</t>
    </rPh>
    <phoneticPr fontId="5"/>
  </si>
  <si>
    <t>西南西11.0</t>
    <rPh sb="0" eb="1">
      <t>ニシ</t>
    </rPh>
    <rPh sb="1" eb="2">
      <t>ミナミ</t>
    </rPh>
    <rPh sb="2" eb="3">
      <t>ニシ</t>
    </rPh>
    <phoneticPr fontId="5"/>
  </si>
  <si>
    <t>北北東10.8</t>
    <rPh sb="0" eb="1">
      <t>キタ</t>
    </rPh>
    <rPh sb="1" eb="3">
      <t>キタヒガシ</t>
    </rPh>
    <phoneticPr fontId="5"/>
  </si>
  <si>
    <t>資料：長野県地方気象台</t>
    <rPh sb="0" eb="2">
      <t>シリョウ</t>
    </rPh>
    <rPh sb="3" eb="6">
      <t>ナガノケン</t>
    </rPh>
    <rPh sb="6" eb="8">
      <t>チホウ</t>
    </rPh>
    <rPh sb="8" eb="11">
      <t>キショウダイ</t>
    </rPh>
    <phoneticPr fontId="5"/>
  </si>
  <si>
    <t>注）点線は、観測場所を移転した場合、観測装置を変更した場合または観測の時間間隔を変更した場合に、</t>
    <rPh sb="0" eb="1">
      <t>チュウ</t>
    </rPh>
    <rPh sb="2" eb="4">
      <t>テンセン</t>
    </rPh>
    <phoneticPr fontId="5"/>
  </si>
  <si>
    <t>　　その前後のデータが均質でないことを示します。</t>
    <phoneticPr fontId="5"/>
  </si>
  <si>
    <t>平成7年</t>
    <rPh sb="0" eb="2">
      <t>ヘイセイ</t>
    </rPh>
    <rPh sb="3" eb="4">
      <t>ネン</t>
    </rPh>
    <phoneticPr fontId="5"/>
  </si>
  <si>
    <t>WNW11</t>
    <phoneticPr fontId="5"/>
  </si>
  <si>
    <t>N9</t>
    <phoneticPr fontId="5"/>
  </si>
  <si>
    <t>WSW9</t>
    <phoneticPr fontId="5"/>
  </si>
  <si>
    <t>NNE11</t>
    <phoneticPr fontId="5"/>
  </si>
  <si>
    <t>W10</t>
    <phoneticPr fontId="5"/>
  </si>
  <si>
    <t>W10</t>
  </si>
  <si>
    <t>WNW9</t>
    <phoneticPr fontId="5"/>
  </si>
  <si>
    <t>WSW10</t>
    <phoneticPr fontId="5"/>
  </si>
  <si>
    <t>NW12</t>
    <phoneticPr fontId="5"/>
  </si>
  <si>
    <t>WNW11</t>
  </si>
  <si>
    <t>W10/NW10</t>
  </si>
  <si>
    <t>N11</t>
    <phoneticPr fontId="5"/>
  </si>
  <si>
    <t>W12.8</t>
    <phoneticPr fontId="5"/>
  </si>
  <si>
    <t>WNW11.4</t>
    <phoneticPr fontId="5"/>
  </si>
  <si>
    <t>W11.7</t>
    <phoneticPr fontId="5"/>
  </si>
  <si>
    <t>降　雪　・　積　雪　量</t>
    <rPh sb="0" eb="1">
      <t>コウ</t>
    </rPh>
    <rPh sb="2" eb="3">
      <t>ユキ</t>
    </rPh>
    <rPh sb="6" eb="9">
      <t>セキセツ</t>
    </rPh>
    <rPh sb="10" eb="11">
      <t>リョウ</t>
    </rPh>
    <phoneticPr fontId="5"/>
  </si>
  <si>
    <t>年    度</t>
    <rPh sb="0" eb="1">
      <t>ネン</t>
    </rPh>
    <rPh sb="5" eb="6">
      <t>ド</t>
    </rPh>
    <phoneticPr fontId="5"/>
  </si>
  <si>
    <t>降　　　雪　　　量</t>
    <rPh sb="0" eb="5">
      <t>コウセツ</t>
    </rPh>
    <rPh sb="8" eb="9">
      <t>リョウ</t>
    </rPh>
    <phoneticPr fontId="5"/>
  </si>
  <si>
    <t>雪</t>
    <rPh sb="0" eb="1">
      <t>ユキ</t>
    </rPh>
    <phoneticPr fontId="5"/>
  </si>
  <si>
    <t>月　別　積　雪　量　（最　深）</t>
    <rPh sb="0" eb="3">
      <t>ツキベツ</t>
    </rPh>
    <rPh sb="4" eb="7">
      <t>セキセツ</t>
    </rPh>
    <rPh sb="8" eb="9">
      <t>リョウ</t>
    </rPh>
    <rPh sb="11" eb="12">
      <t>サイ</t>
    </rPh>
    <rPh sb="13" eb="14">
      <t>シン</t>
    </rPh>
    <phoneticPr fontId="5"/>
  </si>
  <si>
    <t>降雪量
合　計</t>
    <rPh sb="0" eb="2">
      <t>コウセツ</t>
    </rPh>
    <rPh sb="2" eb="3">
      <t>リョウ</t>
    </rPh>
    <rPh sb="4" eb="5">
      <t>ゴウ</t>
    </rPh>
    <rPh sb="6" eb="7">
      <t>ケイ</t>
    </rPh>
    <phoneticPr fontId="5"/>
  </si>
  <si>
    <t>一日の
降雪量</t>
    <rPh sb="0" eb="1">
      <t>イチ</t>
    </rPh>
    <rPh sb="1" eb="2">
      <t>ヒ</t>
    </rPh>
    <rPh sb="4" eb="6">
      <t>コウセツ</t>
    </rPh>
    <rPh sb="6" eb="7">
      <t>リョウ</t>
    </rPh>
    <phoneticPr fontId="5"/>
  </si>
  <si>
    <t>初 月 日</t>
    <rPh sb="0" eb="1">
      <t>ハツ</t>
    </rPh>
    <rPh sb="2" eb="3">
      <t>ツキ</t>
    </rPh>
    <rPh sb="4" eb="5">
      <t>ヒ</t>
    </rPh>
    <phoneticPr fontId="5"/>
  </si>
  <si>
    <t>終 月 日</t>
    <rPh sb="0" eb="1">
      <t>シュウ</t>
    </rPh>
    <rPh sb="2" eb="3">
      <t>ツキ</t>
    </rPh>
    <rPh sb="4" eb="5">
      <t>ヒ</t>
    </rPh>
    <phoneticPr fontId="5"/>
  </si>
  <si>
    <t>12月</t>
    <rPh sb="0" eb="3">
      <t>１２ガツ</t>
    </rPh>
    <phoneticPr fontId="5"/>
  </si>
  <si>
    <t>1月</t>
    <rPh sb="0" eb="2">
      <t>１ガツ</t>
    </rPh>
    <phoneticPr fontId="5"/>
  </si>
  <si>
    <t>2月</t>
    <rPh sb="0" eb="2">
      <t>２ガツ</t>
    </rPh>
    <phoneticPr fontId="5"/>
  </si>
  <si>
    <t>3月</t>
    <rPh sb="0" eb="2">
      <t>３ガツ</t>
    </rPh>
    <phoneticPr fontId="5"/>
  </si>
  <si>
    <t>㎝</t>
    <phoneticPr fontId="5"/>
  </si>
  <si>
    <t>月   日</t>
    <rPh sb="0" eb="5">
      <t>ツキヒ</t>
    </rPh>
    <phoneticPr fontId="5"/>
  </si>
  <si>
    <t>月    日</t>
    <rPh sb="0" eb="6">
      <t>ツキヒ</t>
    </rPh>
    <phoneticPr fontId="5"/>
  </si>
  <si>
    <t>平成12～13年</t>
    <rPh sb="0" eb="2">
      <t>ヘイセイ</t>
    </rPh>
    <rPh sb="7" eb="8">
      <t>ネン</t>
    </rPh>
    <phoneticPr fontId="5"/>
  </si>
  <si>
    <t>13～14</t>
  </si>
  <si>
    <t>14～15</t>
  </si>
  <si>
    <t>15～16</t>
  </si>
  <si>
    <t>16～17</t>
  </si>
  <si>
    <t>17～18</t>
  </si>
  <si>
    <t>18～19</t>
  </si>
  <si>
    <t>19～20</t>
  </si>
  <si>
    <t>20～21</t>
  </si>
  <si>
    <t>21～22</t>
  </si>
  <si>
    <t>22～23</t>
  </si>
  <si>
    <t>23～24</t>
  </si>
  <si>
    <t>24～25</t>
  </si>
  <si>
    <t>25～26</t>
  </si>
  <si>
    <t>26～27</t>
  </si>
  <si>
    <t>27～28</t>
  </si>
  <si>
    <t>29～30</t>
  </si>
  <si>
    <t>11.21</t>
  </si>
  <si>
    <t>30～31</t>
  </si>
  <si>
    <t>4.10</t>
  </si>
  <si>
    <t>令和元年～2年</t>
    <rPh sb="0" eb="2">
      <t>レイワ</t>
    </rPh>
    <rPh sb="2" eb="4">
      <t>ガンネン</t>
    </rPh>
    <rPh sb="6" eb="7">
      <t>ネン</t>
    </rPh>
    <phoneticPr fontId="5"/>
  </si>
  <si>
    <t>3.29</t>
    <phoneticPr fontId="5"/>
  </si>
  <si>
    <t>2～3</t>
    <phoneticPr fontId="5"/>
  </si>
  <si>
    <t>12.16</t>
    <phoneticPr fontId="5"/>
  </si>
  <si>
    <t>2.20</t>
    <phoneticPr fontId="5"/>
  </si>
  <si>
    <t>3～4</t>
    <phoneticPr fontId="5"/>
  </si>
  <si>
    <t>12.3</t>
  </si>
  <si>
    <t>3.21</t>
  </si>
  <si>
    <t>4～5</t>
    <phoneticPr fontId="5"/>
  </si>
  <si>
    <t>12.19</t>
  </si>
  <si>
    <t>2.22</t>
  </si>
  <si>
    <t>5～6</t>
    <phoneticPr fontId="5"/>
  </si>
  <si>
    <t>11.18</t>
  </si>
  <si>
    <t>3.24</t>
  </si>
  <si>
    <t>資料：長野地方気象台</t>
    <rPh sb="0" eb="2">
      <t>シリョウ</t>
    </rPh>
    <rPh sb="3" eb="5">
      <t>ナガノ</t>
    </rPh>
    <rPh sb="5" eb="7">
      <t>チホウ</t>
    </rPh>
    <rPh sb="7" eb="10">
      <t>キショウダイ</t>
    </rPh>
    <phoneticPr fontId="5"/>
  </si>
  <si>
    <t xml:space="preserve">    注)「降雪量合計」は平成15～16年以降、集計方法が変ったため前年と比較できない</t>
    <rPh sb="4" eb="5">
      <t>チュウ</t>
    </rPh>
    <rPh sb="7" eb="9">
      <t>コウセツ</t>
    </rPh>
    <rPh sb="9" eb="10">
      <t>リョウ</t>
    </rPh>
    <rPh sb="10" eb="12">
      <t>ゴウケイ</t>
    </rPh>
    <rPh sb="14" eb="16">
      <t>ヘイセイ</t>
    </rPh>
    <rPh sb="21" eb="22">
      <t>ネン</t>
    </rPh>
    <rPh sb="22" eb="24">
      <t>イコウ</t>
    </rPh>
    <rPh sb="25" eb="27">
      <t>シュウケイ</t>
    </rPh>
    <rPh sb="27" eb="29">
      <t>ホウホウ</t>
    </rPh>
    <rPh sb="30" eb="31">
      <t>カワ</t>
    </rPh>
    <rPh sb="35" eb="37">
      <t>ゼンネン</t>
    </rPh>
    <rPh sb="38" eb="40">
      <t>ヒカク</t>
    </rPh>
    <phoneticPr fontId="5"/>
  </si>
  <si>
    <t>　　　　「降雪量合計」は11月～翌年4月までの数値</t>
    <rPh sb="5" eb="7">
      <t>コウセツ</t>
    </rPh>
    <rPh sb="7" eb="8">
      <t>リョウ</t>
    </rPh>
    <rPh sb="8" eb="10">
      <t>ゴウケイ</t>
    </rPh>
    <rPh sb="14" eb="15">
      <t>ガツ</t>
    </rPh>
    <rPh sb="16" eb="18">
      <t>ヨクネン</t>
    </rPh>
    <rPh sb="19" eb="20">
      <t>ガツ</t>
    </rPh>
    <rPh sb="23" eb="25">
      <t>スウチ</t>
    </rPh>
    <phoneticPr fontId="5"/>
  </si>
  <si>
    <t>気象庁</t>
    <rPh sb="0" eb="3">
      <t>キショウチョウ</t>
    </rPh>
    <phoneticPr fontId="5"/>
  </si>
  <si>
    <t>http://www.data.jma.go.jp/obd/stats/etrn/index.php</t>
    <phoneticPr fontId="5"/>
  </si>
  <si>
    <t>人口の推移</t>
    <rPh sb="0" eb="2">
      <t>ジンコウ</t>
    </rPh>
    <rPh sb="3" eb="5">
      <t>スイイ</t>
    </rPh>
    <phoneticPr fontId="5"/>
  </si>
  <si>
    <t>各年10月1日現在</t>
    <rPh sb="0" eb="2">
      <t>カクトシ</t>
    </rPh>
    <rPh sb="4" eb="5">
      <t>ガツ</t>
    </rPh>
    <rPh sb="6" eb="7">
      <t>ニチ</t>
    </rPh>
    <rPh sb="7" eb="9">
      <t>ゲンザイ</t>
    </rPh>
    <phoneticPr fontId="5"/>
  </si>
  <si>
    <t>年    次</t>
    <rPh sb="0" eb="6">
      <t>ネンジ</t>
    </rPh>
    <phoneticPr fontId="5"/>
  </si>
  <si>
    <t>世 帯 数</t>
    <rPh sb="0" eb="1">
      <t>ヨ</t>
    </rPh>
    <rPh sb="2" eb="3">
      <t>オビ</t>
    </rPh>
    <rPh sb="4" eb="5">
      <t>カズ</t>
    </rPh>
    <phoneticPr fontId="5"/>
  </si>
  <si>
    <t>人    口</t>
    <rPh sb="0" eb="6">
      <t>ジンコウ</t>
    </rPh>
    <phoneticPr fontId="5"/>
  </si>
  <si>
    <t>男</t>
    <rPh sb="0" eb="1">
      <t>オトコ</t>
    </rPh>
    <phoneticPr fontId="5"/>
  </si>
  <si>
    <t>女</t>
    <rPh sb="0" eb="1">
      <t>オンナ</t>
    </rPh>
    <phoneticPr fontId="5"/>
  </si>
  <si>
    <t>世帯</t>
    <rPh sb="0" eb="2">
      <t>セタイ</t>
    </rPh>
    <phoneticPr fontId="5"/>
  </si>
  <si>
    <t>人</t>
    <rPh sb="0" eb="1">
      <t>ヒト</t>
    </rPh>
    <phoneticPr fontId="5"/>
  </si>
  <si>
    <t>昭和45年</t>
    <rPh sb="0" eb="2">
      <t>ショウワ</t>
    </rPh>
    <rPh sb="4" eb="5">
      <t>ネン</t>
    </rPh>
    <phoneticPr fontId="5"/>
  </si>
  <si>
    <t>平成2年</t>
    <rPh sb="0" eb="2">
      <t>ヘイセイ</t>
    </rPh>
    <rPh sb="3" eb="4">
      <t>ネン</t>
    </rPh>
    <phoneticPr fontId="5"/>
  </si>
  <si>
    <t>12,594</t>
  </si>
  <si>
    <t>13,435</t>
  </si>
  <si>
    <t>資料：国勢調査</t>
    <rPh sb="0" eb="2">
      <t>シリョウ</t>
    </rPh>
    <rPh sb="3" eb="5">
      <t>コクセイ</t>
    </rPh>
    <rPh sb="5" eb="7">
      <t>チョウサ</t>
    </rPh>
    <phoneticPr fontId="5"/>
  </si>
  <si>
    <t>年齢３区分別人口の推移</t>
    <rPh sb="0" eb="2">
      <t>ネンレイ</t>
    </rPh>
    <rPh sb="3" eb="5">
      <t>クブン</t>
    </rPh>
    <rPh sb="5" eb="6">
      <t>ベツ</t>
    </rPh>
    <rPh sb="6" eb="8">
      <t>ジンコウ</t>
    </rPh>
    <rPh sb="9" eb="11">
      <t>スイイ</t>
    </rPh>
    <phoneticPr fontId="5"/>
  </si>
  <si>
    <t>各年10月1日現在（単位：人・％）</t>
    <rPh sb="0" eb="1">
      <t>カク</t>
    </rPh>
    <rPh sb="1" eb="2">
      <t>ネン</t>
    </rPh>
    <rPh sb="4" eb="5">
      <t>ガツ</t>
    </rPh>
    <rPh sb="5" eb="7">
      <t>１ニチ</t>
    </rPh>
    <rPh sb="7" eb="9">
      <t>ゲンザイ</t>
    </rPh>
    <rPh sb="10" eb="12">
      <t>タンイ</t>
    </rPh>
    <rPh sb="13" eb="14">
      <t>ヒト</t>
    </rPh>
    <phoneticPr fontId="5"/>
  </si>
  <si>
    <t>総　　数</t>
    <rPh sb="0" eb="1">
      <t>フサ</t>
    </rPh>
    <rPh sb="3" eb="4">
      <t>カズ</t>
    </rPh>
    <phoneticPr fontId="5"/>
  </si>
  <si>
    <t>0～14歳</t>
    <rPh sb="4" eb="5">
      <t>サイ</t>
    </rPh>
    <phoneticPr fontId="5"/>
  </si>
  <si>
    <t>15～64歳</t>
    <rPh sb="5" eb="6">
      <t>サイ</t>
    </rPh>
    <phoneticPr fontId="5"/>
  </si>
  <si>
    <t>65歳以上</t>
    <rPh sb="2" eb="3">
      <t>サイイジョウ</t>
    </rPh>
    <rPh sb="3" eb="5">
      <t>イジョウ</t>
    </rPh>
    <phoneticPr fontId="5"/>
  </si>
  <si>
    <t>年　齢　別　割　合</t>
    <rPh sb="0" eb="1">
      <t>トシ</t>
    </rPh>
    <rPh sb="2" eb="3">
      <t>ヨワイ</t>
    </rPh>
    <rPh sb="4" eb="5">
      <t>ベツ</t>
    </rPh>
    <rPh sb="6" eb="7">
      <t>ワリ</t>
    </rPh>
    <rPh sb="8" eb="9">
      <t>ゴウ</t>
    </rPh>
    <phoneticPr fontId="5"/>
  </si>
  <si>
    <t>年　少
人　口
指　数</t>
    <rPh sb="0" eb="1">
      <t>トシ</t>
    </rPh>
    <rPh sb="2" eb="3">
      <t>ショウ</t>
    </rPh>
    <phoneticPr fontId="5"/>
  </si>
  <si>
    <t>老　年
人　口
指　数</t>
    <rPh sb="0" eb="1">
      <t>ロウ</t>
    </rPh>
    <rPh sb="2" eb="3">
      <t>トシ</t>
    </rPh>
    <phoneticPr fontId="5"/>
  </si>
  <si>
    <t>従　属
人　口
指　数</t>
    <rPh sb="0" eb="1">
      <t>ジュウ</t>
    </rPh>
    <rPh sb="2" eb="3">
      <t>ゾク</t>
    </rPh>
    <phoneticPr fontId="5"/>
  </si>
  <si>
    <t>老年化
指　数</t>
    <rPh sb="0" eb="2">
      <t>ロウネン</t>
    </rPh>
    <rPh sb="2" eb="3">
      <t>カ</t>
    </rPh>
    <rPh sb="4" eb="5">
      <t>ユビ</t>
    </rPh>
    <rPh sb="6" eb="7">
      <t>カズ</t>
    </rPh>
    <phoneticPr fontId="5"/>
  </si>
  <si>
    <t>世帯数</t>
    <rPh sb="0" eb="3">
      <t>セタイスウ</t>
    </rPh>
    <phoneticPr fontId="5"/>
  </si>
  <si>
    <t>0～14</t>
    <phoneticPr fontId="5"/>
  </si>
  <si>
    <t>15～64</t>
    <phoneticPr fontId="5"/>
  </si>
  <si>
    <t>65以上</t>
    <rPh sb="2" eb="4">
      <t>イジョウ</t>
    </rPh>
    <phoneticPr fontId="5"/>
  </si>
  <si>
    <t>（年少人口）</t>
    <rPh sb="1" eb="3">
      <t>ネンショウ</t>
    </rPh>
    <rPh sb="3" eb="5">
      <t>ジンコウ</t>
    </rPh>
    <phoneticPr fontId="5"/>
  </si>
  <si>
    <t>（生産年齢人口）</t>
    <rPh sb="1" eb="3">
      <t>セイサン</t>
    </rPh>
    <rPh sb="3" eb="5">
      <t>ネンレイ</t>
    </rPh>
    <rPh sb="5" eb="7">
      <t>ジンコウ</t>
    </rPh>
    <phoneticPr fontId="5"/>
  </si>
  <si>
    <t>（老年人口）</t>
    <rPh sb="1" eb="3">
      <t>ロウネン</t>
    </rPh>
    <rPh sb="3" eb="5">
      <t>ジンコウ</t>
    </rPh>
    <phoneticPr fontId="5"/>
  </si>
  <si>
    <t>昭和45年</t>
    <rPh sb="0" eb="2">
      <t>ショウワ</t>
    </rPh>
    <rPh sb="2" eb="5">
      <t>４５ネン</t>
    </rPh>
    <phoneticPr fontId="5"/>
  </si>
  <si>
    <t>平成2年</t>
    <rPh sb="0" eb="2">
      <t>ヘイセイ</t>
    </rPh>
    <rPh sb="2" eb="4">
      <t>２ネン</t>
    </rPh>
    <phoneticPr fontId="5"/>
  </si>
  <si>
    <t>資料：国勢調査 年齢3区分別人口より</t>
    <rPh sb="0" eb="2">
      <t>シリョウ</t>
    </rPh>
    <rPh sb="3" eb="5">
      <t>コクセイ</t>
    </rPh>
    <rPh sb="5" eb="7">
      <t>チョウサ</t>
    </rPh>
    <phoneticPr fontId="5"/>
  </si>
  <si>
    <t>注）年齢構成指数の説明</t>
    <rPh sb="0" eb="1">
      <t>チュウ</t>
    </rPh>
    <rPh sb="2" eb="4">
      <t>ネンレイ</t>
    </rPh>
    <rPh sb="4" eb="6">
      <t>コウセイ</t>
    </rPh>
    <rPh sb="6" eb="8">
      <t>シスウ</t>
    </rPh>
    <rPh sb="9" eb="11">
      <t>セツメイ</t>
    </rPh>
    <phoneticPr fontId="5"/>
  </si>
  <si>
    <t>　　①年少人口指数：生産年齢人口に対する年少人口の比率</t>
    <rPh sb="3" eb="5">
      <t>ネンショウ</t>
    </rPh>
    <rPh sb="5" eb="7">
      <t>ジンコウ</t>
    </rPh>
    <rPh sb="7" eb="9">
      <t>シスウ</t>
    </rPh>
    <rPh sb="10" eb="14">
      <t>セイサンネンレイ</t>
    </rPh>
    <rPh sb="14" eb="16">
      <t>ジンコウ</t>
    </rPh>
    <rPh sb="17" eb="18">
      <t>タイ</t>
    </rPh>
    <rPh sb="20" eb="22">
      <t>ネンショウ</t>
    </rPh>
    <rPh sb="22" eb="24">
      <t>ジンコウ</t>
    </rPh>
    <rPh sb="25" eb="27">
      <t>ヒリツ</t>
    </rPh>
    <phoneticPr fontId="5"/>
  </si>
  <si>
    <t>　　②老年人口指数：生産年齢人口に対する老年人口の比率</t>
    <rPh sb="3" eb="5">
      <t>ロウネン</t>
    </rPh>
    <rPh sb="5" eb="7">
      <t>ジンコウ</t>
    </rPh>
    <rPh sb="7" eb="9">
      <t>シスウ</t>
    </rPh>
    <rPh sb="10" eb="14">
      <t>セイサンネンレイ</t>
    </rPh>
    <rPh sb="14" eb="16">
      <t>ジンコウ</t>
    </rPh>
    <rPh sb="17" eb="18">
      <t>タイ</t>
    </rPh>
    <rPh sb="20" eb="22">
      <t>ロウネン</t>
    </rPh>
    <rPh sb="22" eb="24">
      <t>ジンコウ</t>
    </rPh>
    <rPh sb="25" eb="27">
      <t>ヒリツ</t>
    </rPh>
    <phoneticPr fontId="5"/>
  </si>
  <si>
    <t>　　③従属人口指数：生産年齢人口に対する年少人口と老年人口の計の比率</t>
    <rPh sb="3" eb="5">
      <t>ジュウゾク</t>
    </rPh>
    <rPh sb="5" eb="7">
      <t>ジンコウ</t>
    </rPh>
    <rPh sb="7" eb="9">
      <t>シスウ</t>
    </rPh>
    <rPh sb="10" eb="14">
      <t>セイサンネンレイ</t>
    </rPh>
    <rPh sb="14" eb="16">
      <t>ジンコウ</t>
    </rPh>
    <rPh sb="17" eb="18">
      <t>タイ</t>
    </rPh>
    <rPh sb="20" eb="22">
      <t>ネンショウ</t>
    </rPh>
    <rPh sb="22" eb="24">
      <t>ジンコウ</t>
    </rPh>
    <rPh sb="25" eb="27">
      <t>ロウネン</t>
    </rPh>
    <rPh sb="27" eb="29">
      <t>ジンコウ</t>
    </rPh>
    <rPh sb="30" eb="31">
      <t>ケイ</t>
    </rPh>
    <rPh sb="32" eb="34">
      <t>ヒリツ</t>
    </rPh>
    <phoneticPr fontId="5"/>
  </si>
  <si>
    <t>　　④老年化指数：年少人口に対する老年人口の比率</t>
    <rPh sb="3" eb="5">
      <t>ロウネン</t>
    </rPh>
    <rPh sb="5" eb="6">
      <t>カ</t>
    </rPh>
    <rPh sb="6" eb="7">
      <t>シ</t>
    </rPh>
    <rPh sb="7" eb="8">
      <t>スウ</t>
    </rPh>
    <rPh sb="9" eb="11">
      <t>ネンショウ</t>
    </rPh>
    <rPh sb="11" eb="13">
      <t>ジンコウ</t>
    </rPh>
    <rPh sb="14" eb="15">
      <t>タイ</t>
    </rPh>
    <rPh sb="17" eb="19">
      <t>ロウネン</t>
    </rPh>
    <rPh sb="19" eb="21">
      <t>ジンコウ</t>
    </rPh>
    <rPh sb="22" eb="24">
      <t>ヒリツ</t>
    </rPh>
    <phoneticPr fontId="5"/>
  </si>
  <si>
    <t>地区別人口の推移</t>
    <rPh sb="0" eb="2">
      <t>チク</t>
    </rPh>
    <rPh sb="2" eb="3">
      <t>ベツ</t>
    </rPh>
    <rPh sb="3" eb="5">
      <t>ジンコウ</t>
    </rPh>
    <rPh sb="6" eb="8">
      <t>スイイ</t>
    </rPh>
    <phoneticPr fontId="5"/>
  </si>
  <si>
    <t>各年10月1日現在</t>
    <rPh sb="0" eb="2">
      <t>カクネン</t>
    </rPh>
    <rPh sb="4" eb="5">
      <t>ガツ</t>
    </rPh>
    <rPh sb="6" eb="7">
      <t>ニチ</t>
    </rPh>
    <rPh sb="7" eb="9">
      <t>ゲンザイ</t>
    </rPh>
    <phoneticPr fontId="5"/>
  </si>
  <si>
    <t>大町</t>
    <rPh sb="0" eb="1">
      <t>ダイ</t>
    </rPh>
    <rPh sb="1" eb="2">
      <t>マチ</t>
    </rPh>
    <phoneticPr fontId="5"/>
  </si>
  <si>
    <t>平</t>
    <rPh sb="0" eb="1">
      <t>タイラ</t>
    </rPh>
    <phoneticPr fontId="5"/>
  </si>
  <si>
    <t>常盤</t>
    <rPh sb="0" eb="2">
      <t>トキワ</t>
    </rPh>
    <phoneticPr fontId="5"/>
  </si>
  <si>
    <t>社</t>
    <rPh sb="0" eb="1">
      <t>ヤシロ</t>
    </rPh>
    <phoneticPr fontId="5"/>
  </si>
  <si>
    <t>八坂</t>
    <rPh sb="0" eb="2">
      <t>ヤサカ</t>
    </rPh>
    <phoneticPr fontId="5"/>
  </si>
  <si>
    <t>美麻</t>
    <rPh sb="0" eb="2">
      <t>ミアサ</t>
    </rPh>
    <phoneticPr fontId="5"/>
  </si>
  <si>
    <t>総数</t>
    <rPh sb="0" eb="1">
      <t>フサ</t>
    </rPh>
    <rPh sb="1" eb="2">
      <t>カズ</t>
    </rPh>
    <phoneticPr fontId="5"/>
  </si>
  <si>
    <t>世帯数</t>
    <rPh sb="0" eb="1">
      <t>ヨ</t>
    </rPh>
    <rPh sb="1" eb="2">
      <t>オビ</t>
    </rPh>
    <rPh sb="2" eb="3">
      <t>カズ</t>
    </rPh>
    <phoneticPr fontId="5"/>
  </si>
  <si>
    <t>人口</t>
    <rPh sb="0" eb="2">
      <t>ジンコウ</t>
    </rPh>
    <phoneticPr fontId="5"/>
  </si>
  <si>
    <t>人</t>
    <rPh sb="0" eb="1">
      <t>ジンコウ</t>
    </rPh>
    <phoneticPr fontId="5"/>
  </si>
  <si>
    <t>昭和15年</t>
    <rPh sb="0" eb="2">
      <t>ショウワ</t>
    </rPh>
    <rPh sb="4" eb="5">
      <t>ネン</t>
    </rPh>
    <phoneticPr fontId="5"/>
  </si>
  <si>
    <t>注）1.国勢調査に基づく数値を掲載</t>
    <rPh sb="0" eb="1">
      <t>チュウ</t>
    </rPh>
    <rPh sb="4" eb="6">
      <t>コクセイ</t>
    </rPh>
    <rPh sb="6" eb="8">
      <t>チョウサ</t>
    </rPh>
    <rPh sb="9" eb="10">
      <t>モト</t>
    </rPh>
    <rPh sb="12" eb="14">
      <t>スウチ</t>
    </rPh>
    <rPh sb="15" eb="17">
      <t>ケイサイ</t>
    </rPh>
    <phoneticPr fontId="5"/>
  </si>
  <si>
    <t>　　2.総数は令和2年10月1日現在の市町村境域に基づく数値</t>
    <rPh sb="4" eb="6">
      <t>ソウスウ</t>
    </rPh>
    <rPh sb="7" eb="9">
      <t>レイワ</t>
    </rPh>
    <rPh sb="25" eb="26">
      <t>モト</t>
    </rPh>
    <rPh sb="28" eb="30">
      <t>スウチ</t>
    </rPh>
    <phoneticPr fontId="5"/>
  </si>
  <si>
    <t>人　口　動　態</t>
    <rPh sb="0" eb="1">
      <t>ヒト</t>
    </rPh>
    <rPh sb="2" eb="3">
      <t>クチ</t>
    </rPh>
    <rPh sb="4" eb="5">
      <t>ドウ</t>
    </rPh>
    <rPh sb="6" eb="7">
      <t>タイ</t>
    </rPh>
    <phoneticPr fontId="5"/>
  </si>
  <si>
    <t>増加人口</t>
    <rPh sb="0" eb="2">
      <t>ゾウカ</t>
    </rPh>
    <rPh sb="2" eb="4">
      <t>ジンコウ</t>
    </rPh>
    <phoneticPr fontId="5"/>
  </si>
  <si>
    <t>自 然 動 態</t>
    <rPh sb="0" eb="1">
      <t>ジ</t>
    </rPh>
    <rPh sb="2" eb="3">
      <t>ゼン</t>
    </rPh>
    <rPh sb="4" eb="5">
      <t>ドウ</t>
    </rPh>
    <rPh sb="6" eb="7">
      <t>タイ</t>
    </rPh>
    <phoneticPr fontId="5"/>
  </si>
  <si>
    <t>社 会 動 態</t>
    <rPh sb="0" eb="1">
      <t>シャ</t>
    </rPh>
    <rPh sb="2" eb="3">
      <t>カイ</t>
    </rPh>
    <rPh sb="4" eb="5">
      <t>ドウ</t>
    </rPh>
    <rPh sb="6" eb="7">
      <t>タイ</t>
    </rPh>
    <phoneticPr fontId="5"/>
  </si>
  <si>
    <t>そ の 他</t>
    <rPh sb="4" eb="5">
      <t>タ</t>
    </rPh>
    <phoneticPr fontId="5"/>
  </si>
  <si>
    <t>婚姻</t>
    <rPh sb="0" eb="2">
      <t>コンイン</t>
    </rPh>
    <phoneticPr fontId="5"/>
  </si>
  <si>
    <t>離婚</t>
    <rPh sb="0" eb="2">
      <t>リコン</t>
    </rPh>
    <phoneticPr fontId="5"/>
  </si>
  <si>
    <t>死産</t>
    <rPh sb="0" eb="2">
      <t>シザン</t>
    </rPh>
    <phoneticPr fontId="5"/>
  </si>
  <si>
    <t>増減</t>
    <rPh sb="0" eb="2">
      <t>ゾウゲン</t>
    </rPh>
    <phoneticPr fontId="5"/>
  </si>
  <si>
    <t>出生</t>
    <rPh sb="0" eb="2">
      <t>シュッショウ</t>
    </rPh>
    <phoneticPr fontId="5"/>
  </si>
  <si>
    <t>死亡</t>
    <rPh sb="0" eb="2">
      <t>シボウ</t>
    </rPh>
    <phoneticPr fontId="5"/>
  </si>
  <si>
    <t>転入</t>
    <rPh sb="0" eb="2">
      <t>テンニュウ</t>
    </rPh>
    <phoneticPr fontId="5"/>
  </si>
  <si>
    <t>転出</t>
    <rPh sb="0" eb="2">
      <t>テンシュツ</t>
    </rPh>
    <phoneticPr fontId="5"/>
  </si>
  <si>
    <t>増</t>
    <rPh sb="0" eb="1">
      <t>ゾウ</t>
    </rPh>
    <phoneticPr fontId="5"/>
  </si>
  <si>
    <t>減</t>
    <rPh sb="0" eb="1">
      <t>ゲン</t>
    </rPh>
    <phoneticPr fontId="5"/>
  </si>
  <si>
    <t>人</t>
    <rPh sb="0" eb="1">
      <t>ニン</t>
    </rPh>
    <phoneticPr fontId="5"/>
  </si>
  <si>
    <t>件</t>
    <rPh sb="0" eb="1">
      <t>ケン</t>
    </rPh>
    <phoneticPr fontId="5"/>
  </si>
  <si>
    <t>平成24年</t>
    <rPh sb="0" eb="2">
      <t>ヘイセイ</t>
    </rPh>
    <rPh sb="4" eb="5">
      <t>ネン</t>
    </rPh>
    <phoneticPr fontId="5"/>
  </si>
  <si>
    <t>△ 372</t>
  </si>
  <si>
    <t>△ 207</t>
  </si>
  <si>
    <t>△ 165</t>
  </si>
  <si>
    <t>令和元年</t>
    <rPh sb="0" eb="2">
      <t>レイワ</t>
    </rPh>
    <rPh sb="2" eb="3">
      <t>モト</t>
    </rPh>
    <rPh sb="3" eb="4">
      <t>ネン</t>
    </rPh>
    <phoneticPr fontId="5"/>
  </si>
  <si>
    <t>△ 427</t>
  </si>
  <si>
    <t>△ 251</t>
  </si>
  <si>
    <t>△ 176</t>
  </si>
  <si>
    <t>△ 371</t>
  </si>
  <si>
    <t>△ 221</t>
  </si>
  <si>
    <t>△ 139</t>
  </si>
  <si>
    <t>△ 11</t>
  </si>
  <si>
    <t>△ 448</t>
  </si>
  <si>
    <t>△ 257</t>
  </si>
  <si>
    <t>△ 191</t>
  </si>
  <si>
    <t>△ 338</t>
  </si>
  <si>
    <t>△ 311</t>
  </si>
  <si>
    <t>△ 23</t>
  </si>
  <si>
    <t>△ 4</t>
  </si>
  <si>
    <t>△ 406</t>
  </si>
  <si>
    <t>△ 320</t>
  </si>
  <si>
    <t>△ 84</t>
  </si>
  <si>
    <t>△ 2</t>
  </si>
  <si>
    <t>資料：市民課（毎月人口異動報告）</t>
    <rPh sb="0" eb="2">
      <t>シリョウ</t>
    </rPh>
    <rPh sb="3" eb="6">
      <t>シミンカ</t>
    </rPh>
    <rPh sb="7" eb="9">
      <t>マイツキ</t>
    </rPh>
    <rPh sb="9" eb="11">
      <t>ジンコウ</t>
    </rPh>
    <rPh sb="11" eb="13">
      <t>イドウ</t>
    </rPh>
    <rPh sb="13" eb="15">
      <t>ホウコク</t>
    </rPh>
    <phoneticPr fontId="5"/>
  </si>
  <si>
    <t>　　　注1）婚姻、離婚は本籍人届出数</t>
    <rPh sb="3" eb="4">
      <t>チュウ</t>
    </rPh>
    <rPh sb="6" eb="8">
      <t>コンイン</t>
    </rPh>
    <rPh sb="9" eb="11">
      <t>リコン</t>
    </rPh>
    <rPh sb="12" eb="14">
      <t>ホンセキ</t>
    </rPh>
    <rPh sb="14" eb="15">
      <t>ニン</t>
    </rPh>
    <rPh sb="15" eb="17">
      <t>トドケデ</t>
    </rPh>
    <rPh sb="17" eb="18">
      <t>スウ</t>
    </rPh>
    <phoneticPr fontId="5"/>
  </si>
  <si>
    <t>　</t>
    <phoneticPr fontId="5"/>
  </si>
  <si>
    <t>　　　注2）令和元年より集計基準を変更</t>
    <rPh sb="3" eb="4">
      <t>チュウ</t>
    </rPh>
    <rPh sb="6" eb="8">
      <t>レイワ</t>
    </rPh>
    <rPh sb="8" eb="10">
      <t>ガンネン</t>
    </rPh>
    <rPh sb="12" eb="14">
      <t>シュウケイ</t>
    </rPh>
    <rPh sb="14" eb="16">
      <t>キジュン</t>
    </rPh>
    <rPh sb="17" eb="19">
      <t>ヘンコウ</t>
    </rPh>
    <phoneticPr fontId="5"/>
  </si>
  <si>
    <t>出生率の推移</t>
    <rPh sb="0" eb="2">
      <t>シュッショウ</t>
    </rPh>
    <rPh sb="2" eb="3">
      <t>リツ</t>
    </rPh>
    <rPh sb="4" eb="6">
      <t>スイイ</t>
    </rPh>
    <phoneticPr fontId="5"/>
  </si>
  <si>
    <t>年     次</t>
    <rPh sb="0" eb="7">
      <t>ネンジ</t>
    </rPh>
    <phoneticPr fontId="5"/>
  </si>
  <si>
    <t>大町市</t>
    <rPh sb="0" eb="2">
      <t>オオマチ</t>
    </rPh>
    <rPh sb="2" eb="3">
      <t>シ</t>
    </rPh>
    <phoneticPr fontId="5"/>
  </si>
  <si>
    <t>長     野     県</t>
    <rPh sb="0" eb="13">
      <t>ナガノケン</t>
    </rPh>
    <phoneticPr fontId="5"/>
  </si>
  <si>
    <t>実    数</t>
    <rPh sb="0" eb="6">
      <t>ジッスウ</t>
    </rPh>
    <phoneticPr fontId="5"/>
  </si>
  <si>
    <t>率</t>
    <rPh sb="0" eb="1">
      <t>リツ</t>
    </rPh>
    <phoneticPr fontId="5"/>
  </si>
  <si>
    <t>‰</t>
    <phoneticPr fontId="5"/>
  </si>
  <si>
    <t>昭和35年</t>
    <rPh sb="0" eb="2">
      <t>ショウワ</t>
    </rPh>
    <rPh sb="4" eb="5">
      <t>ネン</t>
    </rPh>
    <phoneticPr fontId="5"/>
  </si>
  <si>
    <t xml:space="preserve">  注）　1．「‰」とは人口1,000人に対する比である。</t>
    <rPh sb="2" eb="3">
      <t>チュウ</t>
    </rPh>
    <rPh sb="12" eb="14">
      <t>ジンコウ</t>
    </rPh>
    <rPh sb="19" eb="22">
      <t>ニンニタイ</t>
    </rPh>
    <rPh sb="24" eb="25">
      <t>ヒ</t>
    </rPh>
    <phoneticPr fontId="5"/>
  </si>
  <si>
    <t xml:space="preserve">        2．比率計算に用いられた人口は各年の10月1日現在の　　</t>
    <rPh sb="10" eb="12">
      <t>ヒリツ</t>
    </rPh>
    <rPh sb="12" eb="14">
      <t>ケイサン</t>
    </rPh>
    <rPh sb="15" eb="16">
      <t>モチ</t>
    </rPh>
    <rPh sb="20" eb="22">
      <t>ジンコウ</t>
    </rPh>
    <rPh sb="23" eb="24">
      <t>カク</t>
    </rPh>
    <rPh sb="24" eb="25">
      <t>ネン</t>
    </rPh>
    <rPh sb="26" eb="29">
      <t>１０ガツ</t>
    </rPh>
    <rPh sb="29" eb="31">
      <t>１ニチ</t>
    </rPh>
    <rPh sb="31" eb="33">
      <t>ゲンザイ</t>
    </rPh>
    <phoneticPr fontId="5"/>
  </si>
  <si>
    <t>　　　　　 国勢調査または推計による人口である。</t>
    <phoneticPr fontId="5"/>
  </si>
  <si>
    <t xml:space="preserve">        3．合併前は、旧大町市の数値である。　　</t>
    <rPh sb="10" eb="12">
      <t>ガッペイ</t>
    </rPh>
    <rPh sb="12" eb="13">
      <t>マエ</t>
    </rPh>
    <rPh sb="15" eb="16">
      <t>キュウ</t>
    </rPh>
    <rPh sb="16" eb="19">
      <t>オオマチシ</t>
    </rPh>
    <rPh sb="20" eb="22">
      <t>スウチ</t>
    </rPh>
    <phoneticPr fontId="5"/>
  </si>
  <si>
    <t>資料：大町保健福祉事務所　長野県健康福祉政策課「人口動態統計結果表」より</t>
    <rPh sb="0" eb="2">
      <t>シリョウ</t>
    </rPh>
    <rPh sb="13" eb="16">
      <t>ナガノケン</t>
    </rPh>
    <rPh sb="16" eb="18">
      <t>ケンコウ</t>
    </rPh>
    <rPh sb="18" eb="20">
      <t>フクシ</t>
    </rPh>
    <rPh sb="20" eb="22">
      <t>セイサク</t>
    </rPh>
    <rPh sb="22" eb="23">
      <t>カ</t>
    </rPh>
    <rPh sb="24" eb="28">
      <t>ジンコウドウタイ</t>
    </rPh>
    <rPh sb="28" eb="30">
      <t>トウケイ</t>
    </rPh>
    <rPh sb="30" eb="32">
      <t>ケッカ</t>
    </rPh>
    <rPh sb="32" eb="33">
      <t>ヒョウ</t>
    </rPh>
    <phoneticPr fontId="5"/>
  </si>
  <si>
    <t>年齢（5歳階級）別人口構成</t>
    <rPh sb="0" eb="2">
      <t>ネンレイ</t>
    </rPh>
    <rPh sb="4" eb="5">
      <t>サイ</t>
    </rPh>
    <rPh sb="5" eb="7">
      <t>カイキュウ</t>
    </rPh>
    <rPh sb="8" eb="9">
      <t>ベツ</t>
    </rPh>
    <rPh sb="9" eb="11">
      <t>ジンコウ</t>
    </rPh>
    <rPh sb="11" eb="13">
      <t>コウセイ</t>
    </rPh>
    <phoneticPr fontId="5"/>
  </si>
  <si>
    <t>各年10月1日現在</t>
    <rPh sb="0" eb="2">
      <t>カクトシ</t>
    </rPh>
    <rPh sb="2" eb="5">
      <t>１０ガツ</t>
    </rPh>
    <rPh sb="5" eb="7">
      <t>１ニチ</t>
    </rPh>
    <rPh sb="7" eb="9">
      <t>ゲンザイ</t>
    </rPh>
    <phoneticPr fontId="5"/>
  </si>
  <si>
    <t>年  次</t>
    <rPh sb="0" eb="4">
      <t>ネンジ</t>
    </rPh>
    <phoneticPr fontId="5"/>
  </si>
  <si>
    <t>平　成　17　年</t>
    <rPh sb="0" eb="3">
      <t>ヘイセイ</t>
    </rPh>
    <rPh sb="7" eb="8">
      <t>トシ</t>
    </rPh>
    <phoneticPr fontId="5"/>
  </si>
  <si>
    <t>平　成　22　年</t>
    <rPh sb="0" eb="3">
      <t>ヘイセイ</t>
    </rPh>
    <rPh sb="7" eb="8">
      <t>トシ</t>
    </rPh>
    <phoneticPr fontId="5"/>
  </si>
  <si>
    <t>平　成　27　年</t>
    <rPh sb="0" eb="3">
      <t>ヘイセイ</t>
    </rPh>
    <rPh sb="7" eb="8">
      <t>トシ</t>
    </rPh>
    <phoneticPr fontId="5"/>
  </si>
  <si>
    <t>令　和　2　年</t>
    <rPh sb="0" eb="1">
      <t>レイ</t>
    </rPh>
    <rPh sb="2" eb="3">
      <t>カズ</t>
    </rPh>
    <rPh sb="6" eb="7">
      <t>トシ</t>
    </rPh>
    <phoneticPr fontId="5"/>
  </si>
  <si>
    <t>比較増減</t>
    <rPh sb="0" eb="2">
      <t>ヒカク</t>
    </rPh>
    <rPh sb="2" eb="4">
      <t>ゾウゲン</t>
    </rPh>
    <phoneticPr fontId="5"/>
  </si>
  <si>
    <t>計</t>
    <rPh sb="0" eb="1">
      <t>ケイ</t>
    </rPh>
    <phoneticPr fontId="5"/>
  </si>
  <si>
    <t>歳</t>
    <rPh sb="0" eb="1">
      <t>サイ</t>
    </rPh>
    <phoneticPr fontId="5"/>
  </si>
  <si>
    <t>％</t>
  </si>
  <si>
    <t>総   数</t>
    <rPh sb="0" eb="5">
      <t>ソウスウ</t>
    </rPh>
    <phoneticPr fontId="5"/>
  </si>
  <si>
    <t>0～4</t>
  </si>
  <si>
    <t>5～9</t>
  </si>
  <si>
    <t>10～14</t>
  </si>
  <si>
    <t>15～19</t>
  </si>
  <si>
    <t>20～24</t>
  </si>
  <si>
    <t>25～29</t>
  </si>
  <si>
    <t>30～34</t>
  </si>
  <si>
    <t>35～39</t>
  </si>
  <si>
    <t>40～44</t>
  </si>
  <si>
    <t>45～49</t>
  </si>
  <si>
    <t>50～54</t>
  </si>
  <si>
    <t>55～59</t>
  </si>
  <si>
    <t>60～64</t>
  </si>
  <si>
    <t>65～69</t>
  </si>
  <si>
    <t>70～74</t>
  </si>
  <si>
    <t>75～79</t>
  </si>
  <si>
    <t>80～84</t>
  </si>
  <si>
    <t>85～89</t>
  </si>
  <si>
    <t>90～94</t>
  </si>
  <si>
    <t>95～99</t>
    <phoneticPr fontId="5"/>
  </si>
  <si>
    <t>100以上</t>
    <rPh sb="3" eb="5">
      <t>イジョウ</t>
    </rPh>
    <phoneticPr fontId="5"/>
  </si>
  <si>
    <t>不詳</t>
    <rPh sb="0" eb="2">
      <t>フショウ</t>
    </rPh>
    <phoneticPr fontId="5"/>
  </si>
  <si>
    <t>－</t>
    <phoneticPr fontId="5"/>
  </si>
  <si>
    <t>資料：国勢調査 人口等基本集計 第３－３表</t>
    <rPh sb="0" eb="2">
      <t>シリョウ</t>
    </rPh>
    <rPh sb="3" eb="5">
      <t>コクセイ</t>
    </rPh>
    <rPh sb="5" eb="7">
      <t>チョウサ</t>
    </rPh>
    <phoneticPr fontId="5"/>
  </si>
  <si>
    <t>国籍別外国人登録者数</t>
    <rPh sb="0" eb="2">
      <t>コクセキ</t>
    </rPh>
    <rPh sb="2" eb="3">
      <t>ベツ</t>
    </rPh>
    <rPh sb="3" eb="5">
      <t>ガイコク</t>
    </rPh>
    <rPh sb="5" eb="6">
      <t>ジン</t>
    </rPh>
    <rPh sb="6" eb="9">
      <t>トウロクシャ</t>
    </rPh>
    <rPh sb="9" eb="10">
      <t>スウ</t>
    </rPh>
    <phoneticPr fontId="5"/>
  </si>
  <si>
    <t>各年3月31日現在</t>
    <rPh sb="0" eb="2">
      <t>カクネン</t>
    </rPh>
    <rPh sb="3" eb="4">
      <t>ガツ</t>
    </rPh>
    <rPh sb="6" eb="7">
      <t>ニチ</t>
    </rPh>
    <rPh sb="7" eb="9">
      <t>ゲンザイ</t>
    </rPh>
    <phoneticPr fontId="5"/>
  </si>
  <si>
    <t>年次</t>
    <rPh sb="0" eb="1">
      <t>ネン</t>
    </rPh>
    <rPh sb="1" eb="2">
      <t>ツギ</t>
    </rPh>
    <phoneticPr fontId="5"/>
  </si>
  <si>
    <t>平成16年</t>
    <rPh sb="0" eb="2">
      <t>ヘイセイ</t>
    </rPh>
    <rPh sb="4" eb="5">
      <t>ネン</t>
    </rPh>
    <phoneticPr fontId="5"/>
  </si>
  <si>
    <t>平成17年</t>
    <rPh sb="0" eb="2">
      <t>ヘイセイ</t>
    </rPh>
    <rPh sb="4" eb="5">
      <t>ネン</t>
    </rPh>
    <phoneticPr fontId="5"/>
  </si>
  <si>
    <t>平成18年</t>
    <rPh sb="0" eb="2">
      <t>ヘイセイ</t>
    </rPh>
    <rPh sb="4" eb="5">
      <t>ネン</t>
    </rPh>
    <phoneticPr fontId="5"/>
  </si>
  <si>
    <t>平成19年</t>
    <rPh sb="0" eb="2">
      <t>ヘイセイ</t>
    </rPh>
    <rPh sb="4" eb="5">
      <t>ネン</t>
    </rPh>
    <phoneticPr fontId="5"/>
  </si>
  <si>
    <t>平成20年</t>
    <rPh sb="0" eb="2">
      <t>ヘイセイ</t>
    </rPh>
    <rPh sb="4" eb="5">
      <t>ネン</t>
    </rPh>
    <phoneticPr fontId="5"/>
  </si>
  <si>
    <t>平成21年</t>
    <rPh sb="0" eb="2">
      <t>ヘイセイ</t>
    </rPh>
    <rPh sb="4" eb="5">
      <t>ネン</t>
    </rPh>
    <phoneticPr fontId="5"/>
  </si>
  <si>
    <t>平成22年</t>
    <rPh sb="0" eb="2">
      <t>ヘイセイ</t>
    </rPh>
    <rPh sb="4" eb="5">
      <t>ネン</t>
    </rPh>
    <phoneticPr fontId="5"/>
  </si>
  <si>
    <t>平成25年</t>
    <rPh sb="0" eb="2">
      <t>ヘイセイ</t>
    </rPh>
    <rPh sb="4" eb="5">
      <t>ネン</t>
    </rPh>
    <phoneticPr fontId="5"/>
  </si>
  <si>
    <t>平成26年</t>
    <rPh sb="0" eb="2">
      <t>ヘイセイ</t>
    </rPh>
    <rPh sb="4" eb="5">
      <t>ネン</t>
    </rPh>
    <phoneticPr fontId="5"/>
  </si>
  <si>
    <t>平成27年</t>
    <rPh sb="0" eb="2">
      <t>ヘイセイ</t>
    </rPh>
    <rPh sb="4" eb="5">
      <t>ネン</t>
    </rPh>
    <phoneticPr fontId="5"/>
  </si>
  <si>
    <t>平成28年</t>
    <rPh sb="0" eb="2">
      <t>ヘイセイ</t>
    </rPh>
    <rPh sb="4" eb="5">
      <t>ネン</t>
    </rPh>
    <phoneticPr fontId="5"/>
  </si>
  <si>
    <t>国籍</t>
    <rPh sb="0" eb="2">
      <t>コクセキ</t>
    </rPh>
    <phoneticPr fontId="5"/>
  </si>
  <si>
    <t>総数</t>
    <rPh sb="0" eb="1">
      <t>ソウ</t>
    </rPh>
    <rPh sb="1" eb="2">
      <t>スウ</t>
    </rPh>
    <phoneticPr fontId="5"/>
  </si>
  <si>
    <t>韓国及び朝鮮</t>
    <rPh sb="0" eb="2">
      <t>カンコク</t>
    </rPh>
    <rPh sb="2" eb="3">
      <t>オヨ</t>
    </rPh>
    <rPh sb="4" eb="6">
      <t>チョウセン</t>
    </rPh>
    <phoneticPr fontId="5"/>
  </si>
  <si>
    <t>中国</t>
    <rPh sb="0" eb="2">
      <t>チュウゴク</t>
    </rPh>
    <phoneticPr fontId="5"/>
  </si>
  <si>
    <t>ブラジル</t>
    <phoneticPr fontId="5"/>
  </si>
  <si>
    <t>タイ</t>
    <phoneticPr fontId="5"/>
  </si>
  <si>
    <t>フィリピン</t>
    <phoneticPr fontId="5"/>
  </si>
  <si>
    <t>資料：市民課</t>
    <rPh sb="0" eb="2">
      <t>シリョウ</t>
    </rPh>
    <rPh sb="3" eb="6">
      <t>シミンカ</t>
    </rPh>
    <phoneticPr fontId="5"/>
  </si>
  <si>
    <t>人口集中地区別人口・面積・人口密度　DIDs</t>
    <rPh sb="0" eb="2">
      <t>ジンコウ</t>
    </rPh>
    <rPh sb="2" eb="4">
      <t>シュウチュウ</t>
    </rPh>
    <rPh sb="4" eb="7">
      <t>チクベツ</t>
    </rPh>
    <rPh sb="7" eb="9">
      <t>ジンコウ</t>
    </rPh>
    <rPh sb="10" eb="12">
      <t>メンセキ</t>
    </rPh>
    <rPh sb="13" eb="17">
      <t>ジンコウミツド</t>
    </rPh>
    <phoneticPr fontId="5"/>
  </si>
  <si>
    <t>各年10月1日現在（単位：人・ｋ㎡）</t>
    <rPh sb="0" eb="2">
      <t>カクトシ</t>
    </rPh>
    <rPh sb="2" eb="5">
      <t>１０ガツ</t>
    </rPh>
    <rPh sb="5" eb="7">
      <t>１ニチ</t>
    </rPh>
    <rPh sb="7" eb="9">
      <t>ゲンザイ</t>
    </rPh>
    <rPh sb="10" eb="12">
      <t>タンイ</t>
    </rPh>
    <rPh sb="13" eb="14">
      <t>ヒト</t>
    </rPh>
    <phoneticPr fontId="5"/>
  </si>
  <si>
    <t>市</t>
    <rPh sb="0" eb="1">
      <t>シ</t>
    </rPh>
    <phoneticPr fontId="5"/>
  </si>
  <si>
    <t>人　　　　　　　　　　口</t>
    <rPh sb="0" eb="12">
      <t>ジンコウ</t>
    </rPh>
    <phoneticPr fontId="5"/>
  </si>
  <si>
    <t>面                    積</t>
    <rPh sb="0" eb="22">
      <t>メンセキ</t>
    </rPh>
    <phoneticPr fontId="5"/>
  </si>
  <si>
    <t>人   口   密   度</t>
    <rPh sb="0" eb="13">
      <t>ジンコウミツド</t>
    </rPh>
    <phoneticPr fontId="5"/>
  </si>
  <si>
    <t>人 口 集 中</t>
    <rPh sb="0" eb="3">
      <t>ジンコウ</t>
    </rPh>
    <rPh sb="4" eb="7">
      <t>シュウチュウ</t>
    </rPh>
    <phoneticPr fontId="5"/>
  </si>
  <si>
    <t>全域に対す</t>
    <rPh sb="0" eb="2">
      <t>ゼンイキ</t>
    </rPh>
    <rPh sb="3" eb="4">
      <t>タイ</t>
    </rPh>
    <phoneticPr fontId="5"/>
  </si>
  <si>
    <t>地       区</t>
    <rPh sb="0" eb="1">
      <t>チ</t>
    </rPh>
    <rPh sb="8" eb="9">
      <t>ク</t>
    </rPh>
    <phoneticPr fontId="5"/>
  </si>
  <si>
    <t>市　全　域</t>
    <rPh sb="0" eb="1">
      <t>シ</t>
    </rPh>
    <rPh sb="2" eb="3">
      <t>ゼン</t>
    </rPh>
    <rPh sb="4" eb="5">
      <t>イキ</t>
    </rPh>
    <phoneticPr fontId="5"/>
  </si>
  <si>
    <t>る人口集中</t>
    <rPh sb="1" eb="3">
      <t>ジンコウ</t>
    </rPh>
    <rPh sb="3" eb="5">
      <t>シュウチュウ</t>
    </rPh>
    <phoneticPr fontId="5"/>
  </si>
  <si>
    <t>(DIDs)</t>
    <phoneticPr fontId="5"/>
  </si>
  <si>
    <t>地区の割合</t>
    <rPh sb="0" eb="2">
      <t>チク</t>
    </rPh>
    <rPh sb="3" eb="5">
      <t>ワリアイ</t>
    </rPh>
    <phoneticPr fontId="5"/>
  </si>
  <si>
    <t>昭和55年</t>
    <rPh sb="0" eb="2">
      <t>ショウワ</t>
    </rPh>
    <rPh sb="4" eb="5">
      <t>ネン</t>
    </rPh>
    <phoneticPr fontId="5"/>
  </si>
  <si>
    <t>注）平成17年以前は旧大町市の数値である。</t>
    <rPh sb="0" eb="1">
      <t>チュウ</t>
    </rPh>
    <rPh sb="2" eb="4">
      <t>ヘイセイ</t>
    </rPh>
    <rPh sb="6" eb="9">
      <t>ネンイゼン</t>
    </rPh>
    <rPh sb="10" eb="11">
      <t>キュウ</t>
    </rPh>
    <rPh sb="11" eb="14">
      <t>オオマチシ</t>
    </rPh>
    <rPh sb="15" eb="17">
      <t>スウチ</t>
    </rPh>
    <phoneticPr fontId="5"/>
  </si>
  <si>
    <t>注） 令和２年国勢調査より、大町市に人口集中地区と定義される地域がないため数値なし。</t>
    <rPh sb="0" eb="1">
      <t>チュウ</t>
    </rPh>
    <rPh sb="3" eb="5">
      <t>レイワ</t>
    </rPh>
    <rPh sb="6" eb="7">
      <t>ネン</t>
    </rPh>
    <rPh sb="7" eb="11">
      <t>コクセイチョウサ</t>
    </rPh>
    <rPh sb="14" eb="17">
      <t>オオマチシ</t>
    </rPh>
    <rPh sb="18" eb="20">
      <t>ジンコウ</t>
    </rPh>
    <rPh sb="20" eb="22">
      <t>シュウチュウ</t>
    </rPh>
    <rPh sb="22" eb="24">
      <t>チク</t>
    </rPh>
    <rPh sb="25" eb="27">
      <t>テイギ</t>
    </rPh>
    <rPh sb="30" eb="32">
      <t>チイキ</t>
    </rPh>
    <rPh sb="37" eb="39">
      <t>スウチ</t>
    </rPh>
    <phoneticPr fontId="5"/>
  </si>
  <si>
    <t>-</t>
  </si>
  <si>
    <t>-</t>
    <phoneticPr fontId="4"/>
  </si>
  <si>
    <t>15歳以上男女別労働力人口</t>
    <rPh sb="0" eb="3">
      <t>１５サイ</t>
    </rPh>
    <rPh sb="3" eb="5">
      <t>イジョウ</t>
    </rPh>
    <rPh sb="5" eb="7">
      <t>ダンジョ</t>
    </rPh>
    <rPh sb="7" eb="8">
      <t>ベツ</t>
    </rPh>
    <rPh sb="8" eb="11">
      <t>ロウドウリョク</t>
    </rPh>
    <rPh sb="11" eb="13">
      <t>ジンコウ</t>
    </rPh>
    <phoneticPr fontId="5"/>
  </si>
  <si>
    <t>10月1日現在</t>
    <rPh sb="0" eb="1">
      <t>ヘイネン</t>
    </rPh>
    <rPh sb="2" eb="3">
      <t>ガツ</t>
    </rPh>
    <rPh sb="4" eb="5">
      <t>ニチ</t>
    </rPh>
    <rPh sb="5" eb="7">
      <t>ゲンザイ</t>
    </rPh>
    <phoneticPr fontId="5"/>
  </si>
  <si>
    <t>年</t>
    <rPh sb="0" eb="1">
      <t>ネン</t>
    </rPh>
    <phoneticPr fontId="5"/>
  </si>
  <si>
    <t>区　　　分</t>
    <rPh sb="0" eb="5">
      <t>クブン</t>
    </rPh>
    <phoneticPr fontId="5"/>
  </si>
  <si>
    <t>15歳以上
人　　口</t>
    <rPh sb="0" eb="3">
      <t>１５サイ</t>
    </rPh>
    <rPh sb="3" eb="5">
      <t>イジョウ</t>
    </rPh>
    <rPh sb="6" eb="7">
      <t>ヒト</t>
    </rPh>
    <rPh sb="9" eb="10">
      <t>クチ</t>
    </rPh>
    <phoneticPr fontId="5"/>
  </si>
  <si>
    <t>労　　働　　力　　人　　口</t>
    <rPh sb="0" eb="1">
      <t>ロウ</t>
    </rPh>
    <rPh sb="3" eb="4">
      <t>ドウ</t>
    </rPh>
    <rPh sb="6" eb="7">
      <t>チカラ</t>
    </rPh>
    <rPh sb="9" eb="10">
      <t>ヒト</t>
    </rPh>
    <rPh sb="12" eb="13">
      <t>クチ</t>
    </rPh>
    <phoneticPr fontId="5"/>
  </si>
  <si>
    <t>非労働力
人　　口</t>
    <rPh sb="0" eb="1">
      <t>ヒ</t>
    </rPh>
    <rPh sb="1" eb="4">
      <t>ロウドウリョク</t>
    </rPh>
    <rPh sb="5" eb="6">
      <t>ヒト</t>
    </rPh>
    <rPh sb="8" eb="9">
      <t>クチ</t>
    </rPh>
    <phoneticPr fontId="5"/>
  </si>
  <si>
    <t>労働力
人口計</t>
    <rPh sb="0" eb="3">
      <t>ロウドウリョク</t>
    </rPh>
    <rPh sb="4" eb="6">
      <t>ジンコウ</t>
    </rPh>
    <rPh sb="6" eb="7">
      <t>ケイ</t>
    </rPh>
    <phoneticPr fontId="5"/>
  </si>
  <si>
    <t>就　　業　　者</t>
    <rPh sb="0" eb="1">
      <t>ジュ</t>
    </rPh>
    <rPh sb="3" eb="4">
      <t>ギョウ</t>
    </rPh>
    <rPh sb="6" eb="7">
      <t>モノ</t>
    </rPh>
    <phoneticPr fontId="5"/>
  </si>
  <si>
    <t>完全失業者</t>
    <rPh sb="0" eb="5">
      <t>カンゼンシツギョウシャ</t>
    </rPh>
    <phoneticPr fontId="5"/>
  </si>
  <si>
    <t>就業者計</t>
    <rPh sb="0" eb="3">
      <t>シュウギョウシャ</t>
    </rPh>
    <rPh sb="3" eb="4">
      <t>ケイ</t>
    </rPh>
    <phoneticPr fontId="5"/>
  </si>
  <si>
    <t>主に仕事</t>
    <rPh sb="0" eb="1">
      <t>オモ</t>
    </rPh>
    <rPh sb="2" eb="4">
      <t>シゴト</t>
    </rPh>
    <phoneticPr fontId="5"/>
  </si>
  <si>
    <t>家 事 の
ほか仕事</t>
    <rPh sb="0" eb="1">
      <t>イエ</t>
    </rPh>
    <rPh sb="2" eb="3">
      <t>コト</t>
    </rPh>
    <rPh sb="8" eb="10">
      <t>シゴト</t>
    </rPh>
    <phoneticPr fontId="5"/>
  </si>
  <si>
    <t>通 学 の
かたわら
仕　  事</t>
    <rPh sb="0" eb="1">
      <t>ツウ</t>
    </rPh>
    <rPh sb="2" eb="3">
      <t>ガク</t>
    </rPh>
    <rPh sb="11" eb="12">
      <t>ツカ</t>
    </rPh>
    <rPh sb="15" eb="16">
      <t>コト</t>
    </rPh>
    <phoneticPr fontId="5"/>
  </si>
  <si>
    <t>休  業</t>
    <rPh sb="0" eb="1">
      <t>キュウ</t>
    </rPh>
    <rPh sb="3" eb="4">
      <t>ギョウ</t>
    </rPh>
    <phoneticPr fontId="5"/>
  </si>
  <si>
    <t>平成17年</t>
    <phoneticPr fontId="5"/>
  </si>
  <si>
    <t>15～64歳</t>
    <rPh sb="3" eb="6">
      <t>６４サイ</t>
    </rPh>
    <phoneticPr fontId="5"/>
  </si>
  <si>
    <t>65歳以上</t>
    <rPh sb="0" eb="3">
      <t>６５サイ</t>
    </rPh>
    <rPh sb="3" eb="5">
      <t>イジョウ</t>
    </rPh>
    <phoneticPr fontId="5"/>
  </si>
  <si>
    <t>平成22年</t>
    <phoneticPr fontId="5"/>
  </si>
  <si>
    <t>平成27年</t>
    <phoneticPr fontId="5"/>
  </si>
  <si>
    <t>令和2年</t>
    <phoneticPr fontId="5"/>
  </si>
  <si>
    <t>資料：国勢調査　就業状態等基本集計</t>
    <rPh sb="0" eb="2">
      <t>シリョウ</t>
    </rPh>
    <rPh sb="3" eb="5">
      <t>コクセイ</t>
    </rPh>
    <rPh sb="5" eb="7">
      <t>チョウサ</t>
    </rPh>
    <phoneticPr fontId="5"/>
  </si>
  <si>
    <t>産業分類別就業者数</t>
    <rPh sb="0" eb="2">
      <t>サンギョウ</t>
    </rPh>
    <rPh sb="2" eb="4">
      <t>ブンルイ</t>
    </rPh>
    <rPh sb="4" eb="5">
      <t>ベツ</t>
    </rPh>
    <rPh sb="5" eb="8">
      <t>シュウギョウシャ</t>
    </rPh>
    <rPh sb="8" eb="9">
      <t>スウ</t>
    </rPh>
    <phoneticPr fontId="5"/>
  </si>
  <si>
    <t>各年10月1日現在</t>
    <phoneticPr fontId="5"/>
  </si>
  <si>
    <t>産　　業　　分　　類</t>
    <rPh sb="0" eb="4">
      <t>サンギョウ</t>
    </rPh>
    <rPh sb="6" eb="10">
      <t>ブンルイ</t>
    </rPh>
    <phoneticPr fontId="5"/>
  </si>
  <si>
    <t>平　　成　　7　　年</t>
    <rPh sb="0" eb="1">
      <t>ヒラ</t>
    </rPh>
    <rPh sb="3" eb="4">
      <t>シゲル</t>
    </rPh>
    <rPh sb="9" eb="10">
      <t>ネン</t>
    </rPh>
    <phoneticPr fontId="5"/>
  </si>
  <si>
    <t>平　　成　　12　　年</t>
    <rPh sb="0" eb="1">
      <t>ヒラ</t>
    </rPh>
    <rPh sb="3" eb="4">
      <t>シゲル</t>
    </rPh>
    <rPh sb="10" eb="11">
      <t>ネン</t>
    </rPh>
    <phoneticPr fontId="5"/>
  </si>
  <si>
    <t>平　　成　　17　　年</t>
    <rPh sb="0" eb="1">
      <t>ヒラ</t>
    </rPh>
    <rPh sb="3" eb="4">
      <t>シゲル</t>
    </rPh>
    <rPh sb="10" eb="11">
      <t>ネン</t>
    </rPh>
    <phoneticPr fontId="5"/>
  </si>
  <si>
    <t>平　　成　　22　　年</t>
    <rPh sb="0" eb="1">
      <t>ヒラ</t>
    </rPh>
    <rPh sb="3" eb="4">
      <t>シゲル</t>
    </rPh>
    <rPh sb="10" eb="11">
      <t>ネン</t>
    </rPh>
    <phoneticPr fontId="5"/>
  </si>
  <si>
    <t>平　　成　　27　　年</t>
    <rPh sb="0" eb="1">
      <t>ヒラ</t>
    </rPh>
    <rPh sb="3" eb="4">
      <t>シゲル</t>
    </rPh>
    <rPh sb="10" eb="11">
      <t>ネン</t>
    </rPh>
    <phoneticPr fontId="5"/>
  </si>
  <si>
    <t>令　　和　　2　　年</t>
    <rPh sb="0" eb="1">
      <t>レイ</t>
    </rPh>
    <rPh sb="3" eb="4">
      <t>ワ</t>
    </rPh>
    <rPh sb="9" eb="10">
      <t>ネン</t>
    </rPh>
    <phoneticPr fontId="5"/>
  </si>
  <si>
    <t>総　数</t>
    <rPh sb="0" eb="1">
      <t>フサ</t>
    </rPh>
    <rPh sb="2" eb="3">
      <t>カズ</t>
    </rPh>
    <phoneticPr fontId="5"/>
  </si>
  <si>
    <t>総　　　　　　　数</t>
    <rPh sb="0" eb="1">
      <t>フサ</t>
    </rPh>
    <rPh sb="8" eb="9">
      <t>カズ</t>
    </rPh>
    <phoneticPr fontId="5"/>
  </si>
  <si>
    <t>第　　一　　次　　産　　業</t>
    <rPh sb="0" eb="13">
      <t>ダイイチジサンギョウ</t>
    </rPh>
    <phoneticPr fontId="5"/>
  </si>
  <si>
    <t>農業</t>
  </si>
  <si>
    <t>林業</t>
  </si>
  <si>
    <t>漁業</t>
  </si>
  <si>
    <t>-</t>
    <phoneticPr fontId="5"/>
  </si>
  <si>
    <t>第　　二　　次　　産　　業</t>
    <rPh sb="0" eb="13">
      <t>ダイニジサンギョウ</t>
    </rPh>
    <phoneticPr fontId="5"/>
  </si>
  <si>
    <t>鉱業，採石業，砂利採取業</t>
  </si>
  <si>
    <t>建設業</t>
  </si>
  <si>
    <t>製造業</t>
  </si>
  <si>
    <t>第　　三　　次　　産　　業</t>
    <rPh sb="0" eb="13">
      <t>ダイサンジサンギョウ</t>
    </rPh>
    <phoneticPr fontId="5"/>
  </si>
  <si>
    <t>電気・ガス・熱供給・水道業</t>
  </si>
  <si>
    <t>情報通信業</t>
    <rPh sb="0" eb="2">
      <t>ジョウホウ</t>
    </rPh>
    <rPh sb="2" eb="5">
      <t>ツウシンギョウ</t>
    </rPh>
    <phoneticPr fontId="5"/>
  </si>
  <si>
    <t>運輸業,郵便業</t>
    <rPh sb="0" eb="3">
      <t>ウンユギョウ</t>
    </rPh>
    <rPh sb="4" eb="6">
      <t>ユウビン</t>
    </rPh>
    <rPh sb="6" eb="7">
      <t>ギョウ</t>
    </rPh>
    <phoneticPr fontId="5"/>
  </si>
  <si>
    <t>卸売業,小売業</t>
    <rPh sb="2" eb="3">
      <t>ギョウ</t>
    </rPh>
    <phoneticPr fontId="5"/>
  </si>
  <si>
    <t>金融業,保険業</t>
    <rPh sb="2" eb="3">
      <t>ギョウ</t>
    </rPh>
    <phoneticPr fontId="5"/>
  </si>
  <si>
    <t>不動産業</t>
  </si>
  <si>
    <t>宿泊業,飲食サービス業</t>
    <rPh sb="0" eb="2">
      <t>シュクハク</t>
    </rPh>
    <rPh sb="2" eb="3">
      <t>ギョウ</t>
    </rPh>
    <rPh sb="4" eb="6">
      <t>インショク</t>
    </rPh>
    <rPh sb="10" eb="11">
      <t>ギョウ</t>
    </rPh>
    <phoneticPr fontId="5"/>
  </si>
  <si>
    <t>学術研究,専門・技術サービス業</t>
    <rPh sb="0" eb="2">
      <t>ガクジュツ</t>
    </rPh>
    <rPh sb="2" eb="4">
      <t>ケンキュウ</t>
    </rPh>
    <rPh sb="5" eb="7">
      <t>センモン</t>
    </rPh>
    <rPh sb="8" eb="10">
      <t>ギジュツ</t>
    </rPh>
    <rPh sb="14" eb="15">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</si>
  <si>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</si>
  <si>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</si>
  <si>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</si>
  <si>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複合サービス事業</t>
    <rPh sb="0" eb="2">
      <t>フクゴウ</t>
    </rPh>
    <rPh sb="6" eb="8">
      <t>ジギョウ</t>
    </rPh>
    <phoneticPr fontId="5"/>
  </si>
  <si>
    <t>サービス業（他に分類されないもの）</t>
    <rPh sb="4" eb="5">
      <t>ギョウ</t>
    </rPh>
    <rPh sb="6" eb="7">
      <t>タ</t>
    </rPh>
    <rPh sb="8" eb="10">
      <t>ブンルイ</t>
    </rPh>
    <phoneticPr fontId="5"/>
  </si>
  <si>
    <t>公務（他に分類されないもの）</t>
    <rPh sb="3" eb="4">
      <t>タ</t>
    </rPh>
    <rPh sb="5" eb="7">
      <t>ブンルイ</t>
    </rPh>
    <phoneticPr fontId="5"/>
  </si>
  <si>
    <t>分類不能の産業</t>
    <rPh sb="0" eb="2">
      <t>ブンルイ</t>
    </rPh>
    <rPh sb="2" eb="4">
      <t>フノウ</t>
    </rPh>
    <rPh sb="5" eb="7">
      <t>サンギョウ</t>
    </rPh>
    <phoneticPr fontId="5"/>
  </si>
  <si>
    <t>資料：国勢調査 就業状態等基本集計</t>
    <rPh sb="0" eb="2">
      <t>シリョウ</t>
    </rPh>
    <rPh sb="3" eb="5">
      <t>コクセイ</t>
    </rPh>
    <rPh sb="5" eb="7">
      <t>チョウサ</t>
    </rPh>
    <rPh sb="8" eb="10">
      <t>シュウギョウ</t>
    </rPh>
    <rPh sb="10" eb="12">
      <t>ジョウタイ</t>
    </rPh>
    <rPh sb="12" eb="13">
      <t>トウ</t>
    </rPh>
    <rPh sb="13" eb="15">
      <t>キホン</t>
    </rPh>
    <rPh sb="15" eb="17">
      <t>シュウケイ</t>
    </rPh>
    <phoneticPr fontId="5"/>
  </si>
  <si>
    <t>注)2.平成22年から産業分類が変更</t>
    <phoneticPr fontId="5"/>
  </si>
  <si>
    <t>注)3.産業大分類は、平成17年国勢調査による。平成12年以前の「飲食店」は「卸売,小売業」に、「宿泊業」は「サービス業」にそれぞれ分類</t>
    <phoneticPr fontId="5"/>
  </si>
  <si>
    <t>産業別従業上の地位・男女別15歳以上就業者数</t>
    <rPh sb="0" eb="3">
      <t>サンギョウベツ</t>
    </rPh>
    <rPh sb="3" eb="5">
      <t>ジュウギョウ</t>
    </rPh>
    <rPh sb="5" eb="6">
      <t>ジョウ</t>
    </rPh>
    <rPh sb="7" eb="9">
      <t>チイ</t>
    </rPh>
    <rPh sb="10" eb="13">
      <t>ダンジョベツ</t>
    </rPh>
    <rPh sb="13" eb="18">
      <t>１５サイイジョウ</t>
    </rPh>
    <rPh sb="18" eb="19">
      <t>シュウ</t>
    </rPh>
    <rPh sb="19" eb="22">
      <t>ギョウシャスウ</t>
    </rPh>
    <phoneticPr fontId="5"/>
  </si>
  <si>
    <t>10月1日現在</t>
    <rPh sb="0" eb="3">
      <t>１０ガツ</t>
    </rPh>
    <rPh sb="3" eb="5">
      <t>１ニチ</t>
    </rPh>
    <rPh sb="5" eb="7">
      <t>ゲンザイ</t>
    </rPh>
    <phoneticPr fontId="5"/>
  </si>
  <si>
    <t>従業上の地位</t>
    <rPh sb="0" eb="2">
      <t>ジュウギョウ</t>
    </rPh>
    <rPh sb="2" eb="3">
      <t>ジョウ</t>
    </rPh>
    <rPh sb="4" eb="6">
      <t>チイ</t>
    </rPh>
    <phoneticPr fontId="5"/>
  </si>
  <si>
    <t>総　　　 数</t>
    <rPh sb="0" eb="1">
      <t>フサ</t>
    </rPh>
    <rPh sb="5" eb="6">
      <t>カズ</t>
    </rPh>
    <phoneticPr fontId="5"/>
  </si>
  <si>
    <t>雇用者・
役員含</t>
    <rPh sb="0" eb="3">
      <t>コヨウシャ</t>
    </rPh>
    <rPh sb="5" eb="6">
      <t>ヤク</t>
    </rPh>
    <rPh sb="6" eb="7">
      <t>イン</t>
    </rPh>
    <rPh sb="7" eb="8">
      <t>フク</t>
    </rPh>
    <phoneticPr fontId="5"/>
  </si>
  <si>
    <t>自営業主・
家庭内職者含</t>
    <rPh sb="0" eb="3">
      <t>ジエイギョウ</t>
    </rPh>
    <rPh sb="3" eb="4">
      <t>ヌシ</t>
    </rPh>
    <rPh sb="6" eb="9">
      <t>カテイナイ</t>
    </rPh>
    <rPh sb="9" eb="10">
      <t>ショク</t>
    </rPh>
    <rPh sb="10" eb="11">
      <t>シャ</t>
    </rPh>
    <rPh sb="11" eb="12">
      <t>フク</t>
    </rPh>
    <phoneticPr fontId="5"/>
  </si>
  <si>
    <t>家族従事者</t>
    <rPh sb="0" eb="2">
      <t>カゾク</t>
    </rPh>
    <rPh sb="2" eb="5">
      <t>ジュウジシャ</t>
    </rPh>
    <phoneticPr fontId="5"/>
  </si>
  <si>
    <t>総数(従業上の地位）1）</t>
    <rPh sb="0" eb="2">
      <t>ソウスウ</t>
    </rPh>
    <rPh sb="3" eb="5">
      <t>ジュウギョウ</t>
    </rPh>
    <rPh sb="5" eb="6">
      <t>ジョウ</t>
    </rPh>
    <rPh sb="7" eb="9">
      <t>チイ</t>
    </rPh>
    <phoneticPr fontId="5"/>
  </si>
  <si>
    <t>産業大分類</t>
    <rPh sb="0" eb="2">
      <t>サンギョウ</t>
    </rPh>
    <rPh sb="2" eb="3">
      <t>ダイ</t>
    </rPh>
    <rPh sb="3" eb="5">
      <t>ブンルイ</t>
    </rPh>
    <phoneticPr fontId="5"/>
  </si>
  <si>
    <t>鉱業，採石業，砂利採取業</t>
    <rPh sb="3" eb="5">
      <t>サイセキ</t>
    </rPh>
    <rPh sb="5" eb="6">
      <t>ギョウ</t>
    </rPh>
    <rPh sb="7" eb="9">
      <t>ジャリ</t>
    </rPh>
    <rPh sb="9" eb="11">
      <t>サイシュ</t>
    </rPh>
    <rPh sb="11" eb="12">
      <t>ギョウ</t>
    </rPh>
    <phoneticPr fontId="5"/>
  </si>
  <si>
    <t>電気・ガス・熱供給・水道業</t>
    <phoneticPr fontId="3"/>
  </si>
  <si>
    <t>運輸業，郵便業</t>
    <rPh sb="4" eb="6">
      <t>ユウビン</t>
    </rPh>
    <rPh sb="6" eb="7">
      <t>ギョウ</t>
    </rPh>
    <phoneticPr fontId="3"/>
  </si>
  <si>
    <t>卸売業，小売業</t>
    <rPh sb="2" eb="3">
      <t>ギョウ</t>
    </rPh>
    <phoneticPr fontId="5"/>
  </si>
  <si>
    <t>金融業，保険業</t>
    <rPh sb="2" eb="3">
      <t>ギョウ</t>
    </rPh>
    <phoneticPr fontId="5"/>
  </si>
  <si>
    <t>不動産業，物品賃貸業</t>
    <rPh sb="5" eb="7">
      <t>ブッピン</t>
    </rPh>
    <rPh sb="7" eb="9">
      <t>チンタイ</t>
    </rPh>
    <rPh sb="9" eb="10">
      <t>ギョウ</t>
    </rPh>
    <phoneticPr fontId="5"/>
  </si>
  <si>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</si>
  <si>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</si>
  <si>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</si>
  <si>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</si>
  <si>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5"/>
  </si>
  <si>
    <t>複合サービス事業</t>
    <rPh sb="0" eb="2">
      <t>フクゴウ</t>
    </rPh>
    <rPh sb="6" eb="8">
      <t>ジギョウ</t>
    </rPh>
    <phoneticPr fontId="3"/>
  </si>
  <si>
    <t>サービス業</t>
    <rPh sb="4" eb="5">
      <t>ギョウ</t>
    </rPh>
    <phoneticPr fontId="5"/>
  </si>
  <si>
    <t>公務</t>
  </si>
  <si>
    <t>－</t>
  </si>
  <si>
    <t>分類不能の産業</t>
    <rPh sb="0" eb="2">
      <t>ブンルイ</t>
    </rPh>
    <rPh sb="2" eb="4">
      <t>フノウ</t>
    </rPh>
    <rPh sb="5" eb="7">
      <t>サンギョウ</t>
    </rPh>
    <phoneticPr fontId="3"/>
  </si>
  <si>
    <t>資料：国勢調査　就業状態等基本集計（第８－５表）</t>
    <rPh sb="0" eb="2">
      <t>シリョウ</t>
    </rPh>
    <rPh sb="3" eb="5">
      <t>コクセイ</t>
    </rPh>
    <rPh sb="5" eb="7">
      <t>チョウサ</t>
    </rPh>
    <phoneticPr fontId="5"/>
  </si>
  <si>
    <t>注1）総数は従業上の地位「不詳」を含む</t>
    <rPh sb="0" eb="1">
      <t>チュウ</t>
    </rPh>
    <rPh sb="3" eb="5">
      <t>ソウスウ</t>
    </rPh>
    <rPh sb="6" eb="8">
      <t>ジュウギョウ</t>
    </rPh>
    <rPh sb="8" eb="9">
      <t>ジョウ</t>
    </rPh>
    <rPh sb="10" eb="12">
      <t>チイ</t>
    </rPh>
    <rPh sb="13" eb="15">
      <t>フショウ</t>
    </rPh>
    <rPh sb="17" eb="18">
      <t>フク</t>
    </rPh>
    <phoneticPr fontId="5"/>
  </si>
  <si>
    <t>雇用者・役員含</t>
    <rPh sb="0" eb="3">
      <t>コヨウシャ</t>
    </rPh>
    <rPh sb="4" eb="5">
      <t>ヤク</t>
    </rPh>
    <rPh sb="5" eb="6">
      <t>イン</t>
    </rPh>
    <rPh sb="6" eb="7">
      <t>フク</t>
    </rPh>
    <phoneticPr fontId="5"/>
  </si>
  <si>
    <t>自営業主・家庭内職者含</t>
    <rPh sb="0" eb="3">
      <t>ジエイギョウ</t>
    </rPh>
    <rPh sb="3" eb="4">
      <t>ヌシ</t>
    </rPh>
    <rPh sb="5" eb="8">
      <t>カテイナイ</t>
    </rPh>
    <rPh sb="8" eb="9">
      <t>ショク</t>
    </rPh>
    <rPh sb="9" eb="10">
      <t>シャ</t>
    </rPh>
    <rPh sb="10" eb="11">
      <t>フク</t>
    </rPh>
    <phoneticPr fontId="5"/>
  </si>
  <si>
    <t>家族
従事者</t>
    <rPh sb="0" eb="2">
      <t>カゾク</t>
    </rPh>
    <rPh sb="3" eb="6">
      <t>ジュウジシャ</t>
    </rPh>
    <phoneticPr fontId="5"/>
  </si>
  <si>
    <t>※平成22年から職業区分変更</t>
    <phoneticPr fontId="5"/>
  </si>
  <si>
    <t>分類不能の職業</t>
  </si>
  <si>
    <t>運搬・清掃・包装等
従事者</t>
  </si>
  <si>
    <t>建設・採掘従事者</t>
  </si>
  <si>
    <t>輸送・機械運転従事者</t>
  </si>
  <si>
    <t>生産工程従事者</t>
    <phoneticPr fontId="23"/>
  </si>
  <si>
    <t>農林漁業従事者</t>
    <phoneticPr fontId="23"/>
  </si>
  <si>
    <t>保安職業従事者</t>
    <phoneticPr fontId="23"/>
  </si>
  <si>
    <t>サービス職業従事者</t>
    <phoneticPr fontId="23"/>
  </si>
  <si>
    <t>販売従事者</t>
  </si>
  <si>
    <t>事務従事者</t>
  </si>
  <si>
    <t>専門的・技術的
職業従事者</t>
    <phoneticPr fontId="23"/>
  </si>
  <si>
    <t>管理的職業従事者</t>
    <phoneticPr fontId="23"/>
  </si>
  <si>
    <t>総数</t>
    <rPh sb="0" eb="1">
      <t>フサ</t>
    </rPh>
    <rPh sb="1" eb="2">
      <t>カズ</t>
    </rPh>
    <phoneticPr fontId="24"/>
  </si>
  <si>
    <t>人</t>
  </si>
  <si>
    <t>女</t>
  </si>
  <si>
    <t>男</t>
  </si>
  <si>
    <t>総    数</t>
  </si>
  <si>
    <t>区　　　　　　　分</t>
    <rPh sb="0" eb="9">
      <t>クブン</t>
    </rPh>
    <phoneticPr fontId="5"/>
  </si>
  <si>
    <t>職業分類別就業者数</t>
    <rPh sb="0" eb="2">
      <t>ショクギョウ</t>
    </rPh>
    <rPh sb="2" eb="3">
      <t>ブン</t>
    </rPh>
    <rPh sb="3" eb="5">
      <t>ルイベツ</t>
    </rPh>
    <rPh sb="5" eb="8">
      <t>シュウギョウシャ</t>
    </rPh>
    <rPh sb="8" eb="9">
      <t>スウ</t>
    </rPh>
    <phoneticPr fontId="5"/>
  </si>
  <si>
    <t>世帯人員別一般世帯数及び一般世帯人員</t>
    <rPh sb="0" eb="2">
      <t>セタイ</t>
    </rPh>
    <rPh sb="2" eb="4">
      <t>ジンイン</t>
    </rPh>
    <rPh sb="4" eb="5">
      <t>ベツ</t>
    </rPh>
    <rPh sb="5" eb="7">
      <t>イッパン</t>
    </rPh>
    <rPh sb="7" eb="10">
      <t>セタイスウ</t>
    </rPh>
    <rPh sb="10" eb="11">
      <t>オヨ</t>
    </rPh>
    <rPh sb="12" eb="14">
      <t>イッパン</t>
    </rPh>
    <rPh sb="14" eb="16">
      <t>セタイ</t>
    </rPh>
    <rPh sb="16" eb="18">
      <t>ジンイン</t>
    </rPh>
    <phoneticPr fontId="5"/>
  </si>
  <si>
    <t>令和2年10月1日現在</t>
    <rPh sb="0" eb="2">
      <t>レイワ</t>
    </rPh>
    <rPh sb="3" eb="4">
      <t>ネン</t>
    </rPh>
    <rPh sb="6" eb="7">
      <t>ガツ</t>
    </rPh>
    <rPh sb="8" eb="9">
      <t>ニチ</t>
    </rPh>
    <rPh sb="9" eb="11">
      <t>ゲンザイ</t>
    </rPh>
    <phoneticPr fontId="5"/>
  </si>
  <si>
    <t>一般世帯</t>
    <rPh sb="0" eb="1">
      <t>１</t>
    </rPh>
    <rPh sb="1" eb="2">
      <t>バン</t>
    </rPh>
    <rPh sb="2" eb="3">
      <t>ヨ</t>
    </rPh>
    <rPh sb="3" eb="4">
      <t>オビ</t>
    </rPh>
    <phoneticPr fontId="5"/>
  </si>
  <si>
    <t>世帯人員</t>
    <rPh sb="0" eb="2">
      <t>セタイ</t>
    </rPh>
    <rPh sb="2" eb="4">
      <t>ジンイン</t>
    </rPh>
    <phoneticPr fontId="5"/>
  </si>
  <si>
    <t>1世帯
当たり
人　員</t>
    <rPh sb="1" eb="3">
      <t>セタイ</t>
    </rPh>
    <rPh sb="4" eb="5">
      <t>ア</t>
    </rPh>
    <rPh sb="8" eb="9">
      <t>ヒト</t>
    </rPh>
    <rPh sb="10" eb="11">
      <t>イン</t>
    </rPh>
    <phoneticPr fontId="5"/>
  </si>
  <si>
    <t>世帯人員
1人</t>
    <rPh sb="0" eb="2">
      <t>セタイ</t>
    </rPh>
    <rPh sb="2" eb="4">
      <t>ジンイン</t>
    </rPh>
    <rPh sb="6" eb="7">
      <t>ニン</t>
    </rPh>
    <phoneticPr fontId="5"/>
  </si>
  <si>
    <t>2人</t>
    <rPh sb="1" eb="2">
      <t>ニン</t>
    </rPh>
    <phoneticPr fontId="5"/>
  </si>
  <si>
    <t>3人</t>
    <rPh sb="1" eb="2">
      <t>ニン</t>
    </rPh>
    <phoneticPr fontId="5"/>
  </si>
  <si>
    <t>4人</t>
    <phoneticPr fontId="5"/>
  </si>
  <si>
    <t>5人</t>
    <phoneticPr fontId="5"/>
  </si>
  <si>
    <t>6人</t>
    <phoneticPr fontId="5"/>
  </si>
  <si>
    <t>7人以上</t>
    <rPh sb="1" eb="2">
      <t>ニン</t>
    </rPh>
    <rPh sb="2" eb="4">
      <t>イジョウ</t>
    </rPh>
    <phoneticPr fontId="5"/>
  </si>
  <si>
    <t>資料：国勢調査 人口等基本集計 第６－３表</t>
    <rPh sb="0" eb="2">
      <t>シリョウ</t>
    </rPh>
    <rPh sb="3" eb="5">
      <t>コクセイ</t>
    </rPh>
    <rPh sb="5" eb="7">
      <t>チョウサ</t>
    </rPh>
    <rPh sb="8" eb="11">
      <t>ジンコウナド</t>
    </rPh>
    <rPh sb="11" eb="13">
      <t>キホン</t>
    </rPh>
    <rPh sb="13" eb="15">
      <t>シュウケイ</t>
    </rPh>
    <phoneticPr fontId="5"/>
  </si>
  <si>
    <t>住居の種類・住宅の所有の関係別一般世帯数・人員</t>
    <rPh sb="0" eb="2">
      <t>ジュウキョ</t>
    </rPh>
    <rPh sb="3" eb="5">
      <t>シュルイ</t>
    </rPh>
    <rPh sb="6" eb="8">
      <t>ジュウタク</t>
    </rPh>
    <rPh sb="9" eb="11">
      <t>ショユウ</t>
    </rPh>
    <rPh sb="12" eb="14">
      <t>カンケイ</t>
    </rPh>
    <rPh sb="14" eb="15">
      <t>ベツ</t>
    </rPh>
    <rPh sb="15" eb="17">
      <t>イッパン</t>
    </rPh>
    <rPh sb="17" eb="20">
      <t>セタイスウ</t>
    </rPh>
    <rPh sb="21" eb="23">
      <t>ジンイン</t>
    </rPh>
    <phoneticPr fontId="5"/>
  </si>
  <si>
    <t>大町市</t>
    <rPh sb="0" eb="3">
      <t>オオマチシ</t>
    </rPh>
    <phoneticPr fontId="5"/>
  </si>
  <si>
    <t>住　居　の　種　類　・
住宅の所有の関係（6区分）　</t>
    <rPh sb="0" eb="1">
      <t>ジュウ</t>
    </rPh>
    <rPh sb="2" eb="3">
      <t>キョ</t>
    </rPh>
    <rPh sb="6" eb="7">
      <t>タネ</t>
    </rPh>
    <rPh sb="8" eb="9">
      <t>タグイ</t>
    </rPh>
    <rPh sb="12" eb="14">
      <t>ジュウタク</t>
    </rPh>
    <rPh sb="15" eb="17">
      <t>ショユウ</t>
    </rPh>
    <rPh sb="18" eb="20">
      <t>カンケイ</t>
    </rPh>
    <rPh sb="22" eb="24">
      <t>クブン</t>
    </rPh>
    <phoneticPr fontId="5"/>
  </si>
  <si>
    <t>平成22年10月1日現在</t>
    <rPh sb="0" eb="2">
      <t>ヘイセイ</t>
    </rPh>
    <rPh sb="4" eb="5">
      <t>ネン</t>
    </rPh>
    <rPh sb="7" eb="8">
      <t>ガツ</t>
    </rPh>
    <rPh sb="9" eb="10">
      <t>ニチ</t>
    </rPh>
    <rPh sb="10" eb="12">
      <t>ゲンザイ</t>
    </rPh>
    <phoneticPr fontId="5"/>
  </si>
  <si>
    <t>平成27年10月1日現在</t>
    <rPh sb="0" eb="2">
      <t>ヘイセイ</t>
    </rPh>
    <rPh sb="4" eb="5">
      <t>ネン</t>
    </rPh>
    <rPh sb="7" eb="8">
      <t>ガツ</t>
    </rPh>
    <rPh sb="9" eb="10">
      <t>ニチ</t>
    </rPh>
    <rPh sb="10" eb="12">
      <t>ゲンザイ</t>
    </rPh>
    <phoneticPr fontId="5"/>
  </si>
  <si>
    <t>令和2年10月1日現在</t>
    <rPh sb="0" eb="1">
      <t>レイ</t>
    </rPh>
    <rPh sb="1" eb="2">
      <t>カズ</t>
    </rPh>
    <rPh sb="3" eb="4">
      <t>ネン</t>
    </rPh>
    <rPh sb="4" eb="5">
      <t>ヘイネン</t>
    </rPh>
    <rPh sb="6" eb="7">
      <t>ガツ</t>
    </rPh>
    <rPh sb="8" eb="9">
      <t>ニチ</t>
    </rPh>
    <rPh sb="9" eb="11">
      <t>ゲンザイ</t>
    </rPh>
    <phoneticPr fontId="5"/>
  </si>
  <si>
    <t>世　帯
人　員</t>
    <rPh sb="0" eb="3">
      <t>セタイ</t>
    </rPh>
    <rPh sb="4" eb="5">
      <t>ヒト</t>
    </rPh>
    <rPh sb="6" eb="7">
      <t>イン</t>
    </rPh>
    <phoneticPr fontId="5"/>
  </si>
  <si>
    <t>1世帯当たり
人　　員</t>
    <rPh sb="1" eb="3">
      <t>セタイ</t>
    </rPh>
    <rPh sb="3" eb="4">
      <t>ア</t>
    </rPh>
    <rPh sb="7" eb="8">
      <t>ヒト</t>
    </rPh>
    <rPh sb="10" eb="11">
      <t>イン</t>
    </rPh>
    <phoneticPr fontId="5"/>
  </si>
  <si>
    <t>一般世帯</t>
    <rPh sb="0" eb="2">
      <t>イッパン</t>
    </rPh>
    <rPh sb="2" eb="4">
      <t>セタイ</t>
    </rPh>
    <phoneticPr fontId="5"/>
  </si>
  <si>
    <t>住宅に住む一般世帯</t>
    <rPh sb="0" eb="2">
      <t>ジュウタク</t>
    </rPh>
    <rPh sb="3" eb="4">
      <t>ス</t>
    </rPh>
    <rPh sb="5" eb="7">
      <t>イッパン</t>
    </rPh>
    <rPh sb="7" eb="9">
      <t>セタイ</t>
    </rPh>
    <phoneticPr fontId="5"/>
  </si>
  <si>
    <t>主世帯</t>
    <rPh sb="0" eb="1">
      <t>シュ</t>
    </rPh>
    <rPh sb="1" eb="3">
      <t>セタイ</t>
    </rPh>
    <phoneticPr fontId="5"/>
  </si>
  <si>
    <t>持ち家</t>
    <rPh sb="0" eb="1">
      <t>ジ</t>
    </rPh>
    <rPh sb="2" eb="3">
      <t>イエ</t>
    </rPh>
    <phoneticPr fontId="5"/>
  </si>
  <si>
    <t>公営・公団・公社の借家</t>
    <rPh sb="0" eb="2">
      <t>コウエイ</t>
    </rPh>
    <rPh sb="3" eb="5">
      <t>コウダン</t>
    </rPh>
    <rPh sb="6" eb="8">
      <t>コウシャ</t>
    </rPh>
    <rPh sb="9" eb="10">
      <t>カ</t>
    </rPh>
    <rPh sb="10" eb="11">
      <t>イエ</t>
    </rPh>
    <phoneticPr fontId="5"/>
  </si>
  <si>
    <t>民営の借家</t>
    <rPh sb="0" eb="2">
      <t>ミンエイ</t>
    </rPh>
    <rPh sb="3" eb="4">
      <t>カ</t>
    </rPh>
    <rPh sb="4" eb="5">
      <t>イエ</t>
    </rPh>
    <phoneticPr fontId="5"/>
  </si>
  <si>
    <t>給与住宅</t>
    <rPh sb="0" eb="2">
      <t>キュウヨ</t>
    </rPh>
    <rPh sb="2" eb="4">
      <t>ジュウタク</t>
    </rPh>
    <phoneticPr fontId="5"/>
  </si>
  <si>
    <t>間　　　　　　借　　　　　　り</t>
    <rPh sb="0" eb="8">
      <t>マガ</t>
    </rPh>
    <phoneticPr fontId="5"/>
  </si>
  <si>
    <t>住宅以外に住む一般世帯</t>
    <rPh sb="0" eb="2">
      <t>ジュウタク</t>
    </rPh>
    <rPh sb="2" eb="4">
      <t>イガイ</t>
    </rPh>
    <rPh sb="5" eb="6">
      <t>ス</t>
    </rPh>
    <rPh sb="7" eb="9">
      <t>イッパン</t>
    </rPh>
    <rPh sb="9" eb="11">
      <t>セタイ</t>
    </rPh>
    <phoneticPr fontId="5"/>
  </si>
  <si>
    <t>旧八坂村</t>
    <rPh sb="0" eb="1">
      <t>キュウ</t>
    </rPh>
    <rPh sb="1" eb="4">
      <t>ヤサカムラ</t>
    </rPh>
    <phoneticPr fontId="5"/>
  </si>
  <si>
    <t>旧美麻村</t>
    <rPh sb="0" eb="1">
      <t>キュウ</t>
    </rPh>
    <rPh sb="1" eb="4">
      <t>ミアサムラ</t>
    </rPh>
    <phoneticPr fontId="5"/>
  </si>
  <si>
    <t>資料：国勢調査　（第１９－４表、第１９－５表）</t>
    <rPh sb="0" eb="2">
      <t>シリョウ</t>
    </rPh>
    <rPh sb="3" eb="5">
      <t>コクセイ</t>
    </rPh>
    <rPh sb="5" eb="7">
      <t>チョウサ</t>
    </rPh>
    <phoneticPr fontId="5"/>
  </si>
  <si>
    <t>高齢者の年齢（5区分）、男女別高齢単身者数</t>
    <rPh sb="0" eb="3">
      <t>コウレイシャ</t>
    </rPh>
    <rPh sb="4" eb="6">
      <t>ネンレイ</t>
    </rPh>
    <rPh sb="8" eb="10">
      <t>クブン</t>
    </rPh>
    <rPh sb="12" eb="15">
      <t>ダンジョベツ</t>
    </rPh>
    <rPh sb="15" eb="17">
      <t>コウレイ</t>
    </rPh>
    <rPh sb="17" eb="20">
      <t>タンシンシャ</t>
    </rPh>
    <rPh sb="20" eb="21">
      <t>スウ</t>
    </rPh>
    <phoneticPr fontId="5"/>
  </si>
  <si>
    <t>区                    分</t>
    <rPh sb="0" eb="22">
      <t>クブン</t>
    </rPh>
    <phoneticPr fontId="5"/>
  </si>
  <si>
    <t>総      数</t>
    <rPh sb="0" eb="8">
      <t>ソウスウ</t>
    </rPh>
    <phoneticPr fontId="5"/>
  </si>
  <si>
    <t>65～69歳</t>
    <rPh sb="5" eb="6">
      <t>サイ</t>
    </rPh>
    <phoneticPr fontId="5"/>
  </si>
  <si>
    <t>70～74歳</t>
    <rPh sb="5" eb="6">
      <t>サイ</t>
    </rPh>
    <phoneticPr fontId="5"/>
  </si>
  <si>
    <t>75～79歳</t>
    <rPh sb="5" eb="6">
      <t>サイ</t>
    </rPh>
    <phoneticPr fontId="5"/>
  </si>
  <si>
    <t>80～84歳</t>
    <rPh sb="5" eb="6">
      <t>サイ</t>
    </rPh>
    <phoneticPr fontId="5"/>
  </si>
  <si>
    <t>85歳以上</t>
    <rPh sb="2" eb="3">
      <t>サイ</t>
    </rPh>
    <rPh sb="3" eb="5">
      <t>イジョウ</t>
    </rPh>
    <phoneticPr fontId="5"/>
  </si>
  <si>
    <t>（別掲）</t>
    <rPh sb="1" eb="2">
      <t>ベツ</t>
    </rPh>
    <rPh sb="2" eb="3">
      <t>ケイ</t>
    </rPh>
    <phoneticPr fontId="5"/>
  </si>
  <si>
    <t>60歳以上</t>
    <rPh sb="2" eb="5">
      <t>サイイジョウ</t>
    </rPh>
    <phoneticPr fontId="5"/>
  </si>
  <si>
    <t>65歳以上の高齢単身者数</t>
    <rPh sb="0" eb="5">
      <t>６５サイイジョウ</t>
    </rPh>
    <rPh sb="6" eb="8">
      <t>コウレイ</t>
    </rPh>
    <rPh sb="8" eb="11">
      <t>タンシンシャ</t>
    </rPh>
    <rPh sb="11" eb="12">
      <t>スウ</t>
    </rPh>
    <phoneticPr fontId="5"/>
  </si>
  <si>
    <t>住居の種類・住宅の所有の関係別65歳以上の親族のいる一般世帯数・人員</t>
    <rPh sb="0" eb="2">
      <t>ジュウキョ</t>
    </rPh>
    <rPh sb="3" eb="5">
      <t>シュルイ</t>
    </rPh>
    <rPh sb="6" eb="8">
      <t>ジュウタク</t>
    </rPh>
    <rPh sb="9" eb="11">
      <t>ショユウ</t>
    </rPh>
    <rPh sb="12" eb="15">
      <t>カンケイベツ</t>
    </rPh>
    <rPh sb="15" eb="18">
      <t>６５サイ</t>
    </rPh>
    <rPh sb="18" eb="20">
      <t>イジョウ</t>
    </rPh>
    <phoneticPr fontId="5"/>
  </si>
  <si>
    <t>各年10月1日現在</t>
    <rPh sb="0" eb="1">
      <t>カク</t>
    </rPh>
    <rPh sb="1" eb="2">
      <t>ネン</t>
    </rPh>
    <rPh sb="2" eb="3">
      <t>ヘイネン</t>
    </rPh>
    <rPh sb="4" eb="5">
      <t>ガツ</t>
    </rPh>
    <rPh sb="6" eb="7">
      <t>ニチ</t>
    </rPh>
    <rPh sb="7" eb="9">
      <t>ゲンザイ</t>
    </rPh>
    <phoneticPr fontId="5"/>
  </si>
  <si>
    <t>区分</t>
    <rPh sb="0" eb="2">
      <t>クブン</t>
    </rPh>
    <phoneticPr fontId="5"/>
  </si>
  <si>
    <t>65歳以上
世帯人員</t>
    <rPh sb="6" eb="8">
      <t>セタイ</t>
    </rPh>
    <phoneticPr fontId="5"/>
  </si>
  <si>
    <t>1世帯
当たり
人　員</t>
    <rPh sb="1" eb="2">
      <t>ヨ</t>
    </rPh>
    <rPh sb="2" eb="3">
      <t>オビ</t>
    </rPh>
    <rPh sb="4" eb="5">
      <t>ア</t>
    </rPh>
    <rPh sb="8" eb="9">
      <t>ヒト</t>
    </rPh>
    <rPh sb="10" eb="11">
      <t>イン</t>
    </rPh>
    <phoneticPr fontId="5"/>
  </si>
  <si>
    <t>65歳以上親族のいる一般世帯</t>
    <rPh sb="0" eb="5">
      <t>６５サイイジョウ</t>
    </rPh>
    <rPh sb="5" eb="7">
      <t>シンゾク</t>
    </rPh>
    <rPh sb="10" eb="12">
      <t>イッパン</t>
    </rPh>
    <rPh sb="12" eb="14">
      <t>セタイ</t>
    </rPh>
    <phoneticPr fontId="5"/>
  </si>
  <si>
    <t>住宅に住む一般世帯</t>
    <rPh sb="0" eb="1">
      <t>ジュウ</t>
    </rPh>
    <rPh sb="1" eb="2">
      <t>タク</t>
    </rPh>
    <rPh sb="3" eb="4">
      <t>ス</t>
    </rPh>
    <rPh sb="5" eb="6">
      <t>イチ</t>
    </rPh>
    <rPh sb="6" eb="7">
      <t>バン</t>
    </rPh>
    <rPh sb="7" eb="8">
      <t>ヨ</t>
    </rPh>
    <rPh sb="8" eb="9">
      <t>オビ</t>
    </rPh>
    <phoneticPr fontId="5"/>
  </si>
  <si>
    <t>主　　　　　世　　　　　　帯</t>
    <rPh sb="0" eb="1">
      <t>シュ</t>
    </rPh>
    <rPh sb="6" eb="7">
      <t>ヨ</t>
    </rPh>
    <rPh sb="13" eb="14">
      <t>オビ</t>
    </rPh>
    <phoneticPr fontId="5"/>
  </si>
  <si>
    <t>持　　 　　　ち　　 　　　家</t>
    <rPh sb="0" eb="1">
      <t>ジ</t>
    </rPh>
    <rPh sb="14" eb="15">
      <t>イエ</t>
    </rPh>
    <phoneticPr fontId="5"/>
  </si>
  <si>
    <t>公 営 ・ 都市機構 ・ 公社の借家</t>
    <rPh sb="0" eb="1">
      <t>オオヤケ</t>
    </rPh>
    <rPh sb="2" eb="3">
      <t>エイ</t>
    </rPh>
    <rPh sb="6" eb="8">
      <t>トシ</t>
    </rPh>
    <rPh sb="8" eb="10">
      <t>キコウ</t>
    </rPh>
    <rPh sb="13" eb="15">
      <t>コウシャ</t>
    </rPh>
    <rPh sb="16" eb="17">
      <t>カ</t>
    </rPh>
    <rPh sb="17" eb="18">
      <t>イエ</t>
    </rPh>
    <phoneticPr fontId="5"/>
  </si>
  <si>
    <t>民　　営　 　の 　　借　　家</t>
    <rPh sb="0" eb="4">
      <t>ミンエイ</t>
    </rPh>
    <rPh sb="11" eb="15">
      <t>カリヤ</t>
    </rPh>
    <phoneticPr fontId="5"/>
  </si>
  <si>
    <t>給　　　与　 　　住　 　　宅</t>
    <rPh sb="0" eb="1">
      <t>キュウ</t>
    </rPh>
    <rPh sb="4" eb="5">
      <t>クミ</t>
    </rPh>
    <rPh sb="9" eb="10">
      <t>ジュウ</t>
    </rPh>
    <rPh sb="14" eb="15">
      <t>タク</t>
    </rPh>
    <phoneticPr fontId="5"/>
  </si>
  <si>
    <t>間　　　　　借　　　　　　り</t>
    <rPh sb="0" eb="1">
      <t>アイダ</t>
    </rPh>
    <rPh sb="6" eb="7">
      <t>シャク</t>
    </rPh>
    <phoneticPr fontId="5"/>
  </si>
  <si>
    <t>資料：国勢調査 人口等基本集計 第２９－５表，第２９－６表，第２９－７表，第２９－８表</t>
    <rPh sb="0" eb="2">
      <t>シリョウ</t>
    </rPh>
    <rPh sb="3" eb="5">
      <t>コクセイ</t>
    </rPh>
    <rPh sb="5" eb="7">
      <t>チョウサ</t>
    </rPh>
    <phoneticPr fontId="5"/>
  </si>
  <si>
    <t>常住人口・流入流出人口及び昼間人口（通勤・通学ほか　15歳以上）</t>
    <rPh sb="0" eb="2">
      <t>ジョウジュウ</t>
    </rPh>
    <rPh sb="2" eb="4">
      <t>ジンコウ</t>
    </rPh>
    <rPh sb="5" eb="7">
      <t>リュウニュウ</t>
    </rPh>
    <rPh sb="7" eb="9">
      <t>リュウシュツ</t>
    </rPh>
    <rPh sb="9" eb="11">
      <t>ジンコウ</t>
    </rPh>
    <rPh sb="11" eb="12">
      <t>オヨ</t>
    </rPh>
    <rPh sb="13" eb="15">
      <t>ヒルマ</t>
    </rPh>
    <rPh sb="15" eb="17">
      <t>ジンコウ</t>
    </rPh>
    <rPh sb="18" eb="20">
      <t>ツウキン</t>
    </rPh>
    <rPh sb="21" eb="23">
      <t>ツウガク</t>
    </rPh>
    <rPh sb="28" eb="29">
      <t>サイ</t>
    </rPh>
    <rPh sb="29" eb="31">
      <t>イジョウ</t>
    </rPh>
    <phoneticPr fontId="5"/>
  </si>
  <si>
    <t>各年10月1日現在</t>
    <rPh sb="0" eb="2">
      <t>カクネン</t>
    </rPh>
    <rPh sb="4" eb="5">
      <t>ガツ</t>
    </rPh>
    <rPh sb="6" eb="7">
      <t>ニチ</t>
    </rPh>
    <rPh sb="7" eb="8">
      <t>ゲン</t>
    </rPh>
    <rPh sb="8" eb="9">
      <t>ザイ</t>
    </rPh>
    <phoneticPr fontId="5"/>
  </si>
  <si>
    <t>年</t>
    <rPh sb="0" eb="1">
      <t>トシ</t>
    </rPh>
    <phoneticPr fontId="5"/>
  </si>
  <si>
    <t>(a)常住人口</t>
    <rPh sb="3" eb="5">
      <t>ジョウジュウ</t>
    </rPh>
    <rPh sb="5" eb="7">
      <t>ジンコウ</t>
    </rPh>
    <phoneticPr fontId="5"/>
  </si>
  <si>
    <t>(b)   流   入</t>
    <rPh sb="6" eb="11">
      <t>リュウニュウ</t>
    </rPh>
    <phoneticPr fontId="5"/>
  </si>
  <si>
    <t>(c)  流   出</t>
    <rPh sb="5" eb="10">
      <t>リュウシュツ</t>
    </rPh>
    <phoneticPr fontId="5"/>
  </si>
  <si>
    <t>昼  間  人  口
 (a)+((b)-(c))</t>
    <rPh sb="0" eb="1">
      <t>ヒル</t>
    </rPh>
    <rPh sb="3" eb="4">
      <t>アイダ</t>
    </rPh>
    <rPh sb="6" eb="7">
      <t>ヒト</t>
    </rPh>
    <rPh sb="9" eb="10">
      <t>クチ</t>
    </rPh>
    <phoneticPr fontId="5"/>
  </si>
  <si>
    <t>流入超過数
（b） - （c)</t>
    <rPh sb="0" eb="2">
      <t>リュウニュウ</t>
    </rPh>
    <rPh sb="2" eb="3">
      <t>チョウ</t>
    </rPh>
    <rPh sb="3" eb="4">
      <t>カ</t>
    </rPh>
    <rPh sb="4" eb="5">
      <t>スウ</t>
    </rPh>
    <phoneticPr fontId="5"/>
  </si>
  <si>
    <t>常住100人
当 た り
昼間人口</t>
    <rPh sb="0" eb="2">
      <t>ジョウジュウ</t>
    </rPh>
    <rPh sb="2" eb="6">
      <t>１００ニン</t>
    </rPh>
    <rPh sb="7" eb="8">
      <t>ア</t>
    </rPh>
    <rPh sb="13" eb="15">
      <t>ヒルマ</t>
    </rPh>
    <rPh sb="15" eb="17">
      <t>ジンコウ</t>
    </rPh>
    <phoneticPr fontId="5"/>
  </si>
  <si>
    <t>従  業</t>
    <rPh sb="0" eb="4">
      <t>ジュウギョウ</t>
    </rPh>
    <phoneticPr fontId="5"/>
  </si>
  <si>
    <t>通  学</t>
    <rPh sb="0" eb="4">
      <t>ツウガク</t>
    </rPh>
    <phoneticPr fontId="5"/>
  </si>
  <si>
    <t xml:space="preserve"> 従  業　</t>
    <rPh sb="1" eb="5">
      <t>ジュウギョウ</t>
    </rPh>
    <phoneticPr fontId="5"/>
  </si>
  <si>
    <t>昭和60年</t>
    <rPh sb="0" eb="2">
      <t>ショウワ</t>
    </rPh>
    <rPh sb="4" eb="5">
      <t>ネン</t>
    </rPh>
    <phoneticPr fontId="5"/>
  </si>
  <si>
    <t>旧八坂村</t>
    <rPh sb="0" eb="1">
      <t>キュウ</t>
    </rPh>
    <rPh sb="1" eb="3">
      <t>ヤサカ</t>
    </rPh>
    <rPh sb="3" eb="4">
      <t>ムラ</t>
    </rPh>
    <phoneticPr fontId="5"/>
  </si>
  <si>
    <t>資料：国勢調査 従業地・通学地による人口・就業状態等集計 第１－１表、第３表、第４表</t>
    <rPh sb="0" eb="2">
      <t>シリョウ</t>
    </rPh>
    <rPh sb="3" eb="5">
      <t>コクセイ</t>
    </rPh>
    <rPh sb="5" eb="7">
      <t>チョウサ</t>
    </rPh>
    <phoneticPr fontId="5"/>
  </si>
  <si>
    <t>通勤者市町村別内訳(15歳以上）</t>
    <rPh sb="0" eb="3">
      <t>ツウキンシャ</t>
    </rPh>
    <rPh sb="3" eb="6">
      <t>シチョウソン</t>
    </rPh>
    <rPh sb="6" eb="7">
      <t>ベツ</t>
    </rPh>
    <rPh sb="7" eb="9">
      <t>ウチワケ</t>
    </rPh>
    <rPh sb="10" eb="15">
      <t>１５サイイジョウ</t>
    </rPh>
    <phoneticPr fontId="5"/>
  </si>
  <si>
    <t>大町市</t>
    <phoneticPr fontId="5"/>
  </si>
  <si>
    <t>総　数</t>
    <rPh sb="0" eb="1">
      <t>ソウ</t>
    </rPh>
    <rPh sb="2" eb="3">
      <t>スウ</t>
    </rPh>
    <phoneticPr fontId="5"/>
  </si>
  <si>
    <t>松本市</t>
    <rPh sb="0" eb="3">
      <t>マツモトシ</t>
    </rPh>
    <phoneticPr fontId="5"/>
  </si>
  <si>
    <t>池田町</t>
    <rPh sb="0" eb="3">
      <t>イケダマチ</t>
    </rPh>
    <phoneticPr fontId="5"/>
  </si>
  <si>
    <t>松川村</t>
    <rPh sb="0" eb="3">
      <t>マツカワムラ</t>
    </rPh>
    <phoneticPr fontId="5"/>
  </si>
  <si>
    <t>八坂村</t>
    <rPh sb="0" eb="3">
      <t>ヤサカムラ</t>
    </rPh>
    <phoneticPr fontId="5"/>
  </si>
  <si>
    <t>美麻村</t>
    <rPh sb="0" eb="3">
      <t>ミアサムラ</t>
    </rPh>
    <phoneticPr fontId="5"/>
  </si>
  <si>
    <t>白馬村</t>
    <rPh sb="0" eb="3">
      <t>ハクバムラ</t>
    </rPh>
    <phoneticPr fontId="5"/>
  </si>
  <si>
    <t>小谷村</t>
    <rPh sb="0" eb="2">
      <t>オタリ</t>
    </rPh>
    <rPh sb="2" eb="3">
      <t>ムラ</t>
    </rPh>
    <phoneticPr fontId="5"/>
  </si>
  <si>
    <t>安曇野市</t>
    <rPh sb="0" eb="3">
      <t>アズミノ</t>
    </rPh>
    <rPh sb="3" eb="4">
      <t>シ</t>
    </rPh>
    <phoneticPr fontId="5"/>
  </si>
  <si>
    <t>その他
市町村</t>
    <rPh sb="0" eb="3">
      <t>ソノタ</t>
    </rPh>
    <phoneticPr fontId="5"/>
  </si>
  <si>
    <t>県　外</t>
    <rPh sb="0" eb="1">
      <t>ケン</t>
    </rPh>
    <rPh sb="2" eb="3">
      <t>ガイ</t>
    </rPh>
    <phoneticPr fontId="5"/>
  </si>
  <si>
    <t>大町市への
通勤者数
（流入）</t>
    <rPh sb="0" eb="3">
      <t>オオマチシ</t>
    </rPh>
    <rPh sb="6" eb="9">
      <t>ツウキンシャ</t>
    </rPh>
    <rPh sb="9" eb="10">
      <t>スウ</t>
    </rPh>
    <rPh sb="12" eb="14">
      <t>リュウニュウ</t>
    </rPh>
    <phoneticPr fontId="5"/>
  </si>
  <si>
    <t>大町市から
の通勤者数
（流出）</t>
    <rPh sb="0" eb="3">
      <t>オオマチシ</t>
    </rPh>
    <rPh sb="7" eb="10">
      <t>ツウキンシャ</t>
    </rPh>
    <rPh sb="10" eb="11">
      <t>スウ</t>
    </rPh>
    <rPh sb="13" eb="15">
      <t>リュウシュツ</t>
    </rPh>
    <phoneticPr fontId="5"/>
  </si>
  <si>
    <t>旧八坂村</t>
    <phoneticPr fontId="5"/>
  </si>
  <si>
    <t>松川村</t>
  </si>
  <si>
    <t>白馬村</t>
  </si>
  <si>
    <t>生坂村</t>
    <rPh sb="0" eb="2">
      <t>イクサカ</t>
    </rPh>
    <rPh sb="2" eb="3">
      <t>ムラ</t>
    </rPh>
    <phoneticPr fontId="5"/>
  </si>
  <si>
    <t>その他市町村</t>
    <rPh sb="0" eb="3">
      <t>ソノタ</t>
    </rPh>
    <phoneticPr fontId="5"/>
  </si>
  <si>
    <t>旧八坂村への
通勤者数
（流入）</t>
    <rPh sb="0" eb="1">
      <t>キュウ</t>
    </rPh>
    <rPh sb="1" eb="4">
      <t>ヤサカムラ</t>
    </rPh>
    <rPh sb="7" eb="10">
      <t>ツウキンシャ</t>
    </rPh>
    <rPh sb="10" eb="11">
      <t>スウ</t>
    </rPh>
    <rPh sb="13" eb="15">
      <t>リュウニュウ</t>
    </rPh>
    <phoneticPr fontId="5"/>
  </si>
  <si>
    <t>旧八坂村から
の通勤者数
（流出）</t>
    <rPh sb="0" eb="1">
      <t>キュウ</t>
    </rPh>
    <rPh sb="1" eb="4">
      <t>ヤサカムラ</t>
    </rPh>
    <rPh sb="8" eb="11">
      <t>ツウキンシャ</t>
    </rPh>
    <rPh sb="11" eb="12">
      <t>スウ</t>
    </rPh>
    <rPh sb="14" eb="16">
      <t>リュウシュツ</t>
    </rPh>
    <phoneticPr fontId="5"/>
  </si>
  <si>
    <t>旧美麻村</t>
    <phoneticPr fontId="5"/>
  </si>
  <si>
    <t>総　数</t>
    <phoneticPr fontId="5"/>
  </si>
  <si>
    <t>松本市</t>
  </si>
  <si>
    <t>大町市</t>
  </si>
  <si>
    <t>池田町</t>
  </si>
  <si>
    <t>八坂村</t>
    <rPh sb="0" eb="2">
      <t>ヤサカ</t>
    </rPh>
    <rPh sb="2" eb="3">
      <t>ムラ</t>
    </rPh>
    <phoneticPr fontId="5"/>
  </si>
  <si>
    <t>小川村</t>
  </si>
  <si>
    <t>旧美麻村への
通勤者数（流入）</t>
    <rPh sb="0" eb="1">
      <t>キュウ</t>
    </rPh>
    <rPh sb="1" eb="4">
      <t>ミアサムラ</t>
    </rPh>
    <rPh sb="7" eb="10">
      <t>ツウキンシャ</t>
    </rPh>
    <rPh sb="10" eb="11">
      <t>スウ</t>
    </rPh>
    <rPh sb="12" eb="14">
      <t>リュウニュウ</t>
    </rPh>
    <phoneticPr fontId="5"/>
  </si>
  <si>
    <t>旧美麻村からの
通勤者数（流出）</t>
    <rPh sb="0" eb="1">
      <t>キュウ</t>
    </rPh>
    <rPh sb="1" eb="4">
      <t>ミアサムラ</t>
    </rPh>
    <rPh sb="8" eb="11">
      <t>ツウキンシャ</t>
    </rPh>
    <rPh sb="11" eb="12">
      <t>スウ</t>
    </rPh>
    <rPh sb="13" eb="15">
      <t>リュウシュツ</t>
    </rPh>
    <phoneticPr fontId="5"/>
  </si>
  <si>
    <t>通学者市町村別内訳　(15歳以上）</t>
    <rPh sb="0" eb="3">
      <t>ツウガクシャ</t>
    </rPh>
    <rPh sb="3" eb="7">
      <t>シチョウソンベツ</t>
    </rPh>
    <rPh sb="7" eb="9">
      <t>ウチワケ</t>
    </rPh>
    <rPh sb="11" eb="14">
      <t>１５サイ</t>
    </rPh>
    <rPh sb="14" eb="16">
      <t>イジョウ</t>
    </rPh>
    <phoneticPr fontId="5"/>
  </si>
  <si>
    <t>安曇野市</t>
    <rPh sb="0" eb="2">
      <t>アズミ</t>
    </rPh>
    <rPh sb="2" eb="4">
      <t>ノシ</t>
    </rPh>
    <phoneticPr fontId="5"/>
  </si>
  <si>
    <t>県   外</t>
    <rPh sb="0" eb="5">
      <t>ケンガイ</t>
    </rPh>
    <phoneticPr fontId="5"/>
  </si>
  <si>
    <t>大町市への
通学者数
（流入）</t>
    <rPh sb="0" eb="3">
      <t>オオマチシ</t>
    </rPh>
    <rPh sb="6" eb="9">
      <t>ツウガクシャ</t>
    </rPh>
    <rPh sb="9" eb="10">
      <t>スウ</t>
    </rPh>
    <rPh sb="12" eb="14">
      <t>リュウニュウ</t>
    </rPh>
    <phoneticPr fontId="5"/>
  </si>
  <si>
    <t>大町市から
の通学者数
（流出）</t>
    <rPh sb="0" eb="3">
      <t>オオマチシ</t>
    </rPh>
    <rPh sb="7" eb="10">
      <t>ツウガクシャ</t>
    </rPh>
    <rPh sb="10" eb="11">
      <t>スウ</t>
    </rPh>
    <rPh sb="13" eb="15">
      <t>リュウシュツ</t>
    </rPh>
    <phoneticPr fontId="5"/>
  </si>
  <si>
    <t>長野市</t>
  </si>
  <si>
    <t>信州
新町</t>
    <rPh sb="0" eb="2">
      <t>シンシュウ</t>
    </rPh>
    <rPh sb="3" eb="5">
      <t>シンマチ</t>
    </rPh>
    <phoneticPr fontId="5"/>
  </si>
  <si>
    <t>旧八坂村から
の通学者数
（流出）</t>
    <rPh sb="0" eb="1">
      <t>キュウ</t>
    </rPh>
    <rPh sb="1" eb="3">
      <t>ヤサカ</t>
    </rPh>
    <rPh sb="3" eb="4">
      <t>ムラ</t>
    </rPh>
    <rPh sb="8" eb="11">
      <t>ツウガクシャ</t>
    </rPh>
    <rPh sb="11" eb="12">
      <t>スウ</t>
    </rPh>
    <rPh sb="14" eb="16">
      <t>リュウシュツ</t>
    </rPh>
    <phoneticPr fontId="5"/>
  </si>
  <si>
    <t>総   数</t>
  </si>
  <si>
    <t>旧美麻村への
通学者数（流入）</t>
    <rPh sb="0" eb="1">
      <t>キュウ</t>
    </rPh>
    <rPh sb="1" eb="4">
      <t>ミアサムラ</t>
    </rPh>
    <rPh sb="7" eb="10">
      <t>ツウガクシャ</t>
    </rPh>
    <rPh sb="10" eb="11">
      <t>スウ</t>
    </rPh>
    <rPh sb="12" eb="14">
      <t>リュウニュウ</t>
    </rPh>
    <phoneticPr fontId="5"/>
  </si>
  <si>
    <t>旧美麻村からの
通学者数（流出）</t>
    <rPh sb="0" eb="1">
      <t>キュウ</t>
    </rPh>
    <rPh sb="1" eb="4">
      <t>ミアサムラ</t>
    </rPh>
    <rPh sb="8" eb="11">
      <t>ツウガクシャ</t>
    </rPh>
    <rPh sb="11" eb="12">
      <t>スウ</t>
    </rPh>
    <rPh sb="13" eb="15">
      <t>リュウシュツ</t>
    </rPh>
    <phoneticPr fontId="5"/>
  </si>
  <si>
    <t>注1)旧八坂村の通学者(流入）については該当なし。</t>
    <phoneticPr fontId="5"/>
  </si>
  <si>
    <t>議会の開催状況</t>
    <rPh sb="0" eb="2">
      <t>ギカイ</t>
    </rPh>
    <rPh sb="3" eb="5">
      <t>カイサイ</t>
    </rPh>
    <rPh sb="5" eb="7">
      <t>ジョウキョウ</t>
    </rPh>
    <phoneticPr fontId="5"/>
  </si>
  <si>
    <t>各年12月31日現在</t>
    <phoneticPr fontId="5"/>
  </si>
  <si>
    <t>招　集　回　数</t>
    <rPh sb="0" eb="1">
      <t>ショウ</t>
    </rPh>
    <rPh sb="2" eb="3">
      <t>シュウ</t>
    </rPh>
    <rPh sb="4" eb="5">
      <t>カイ</t>
    </rPh>
    <rPh sb="6" eb="7">
      <t>カズ</t>
    </rPh>
    <phoneticPr fontId="5"/>
  </si>
  <si>
    <t>本 会 議
日　　数</t>
    <rPh sb="0" eb="1">
      <t>ホン</t>
    </rPh>
    <rPh sb="2" eb="3">
      <t>カイ</t>
    </rPh>
    <rPh sb="4" eb="5">
      <t>ギ</t>
    </rPh>
    <rPh sb="6" eb="7">
      <t>ヒ</t>
    </rPh>
    <rPh sb="9" eb="10">
      <t>カズ</t>
    </rPh>
    <phoneticPr fontId="5"/>
  </si>
  <si>
    <t>提出議案</t>
    <rPh sb="0" eb="2">
      <t>テイシュツ</t>
    </rPh>
    <rPh sb="2" eb="4">
      <t>ギアン</t>
    </rPh>
    <phoneticPr fontId="5"/>
  </si>
  <si>
    <t>議  案  内  容</t>
    <rPh sb="0" eb="1">
      <t>ギ</t>
    </rPh>
    <rPh sb="3" eb="4">
      <t>アン</t>
    </rPh>
    <rPh sb="6" eb="7">
      <t>ウチ</t>
    </rPh>
    <rPh sb="9" eb="10">
      <t>カタチ</t>
    </rPh>
    <phoneticPr fontId="5"/>
  </si>
  <si>
    <t>請願
陳情
件数</t>
    <rPh sb="0" eb="2">
      <t>セイガン</t>
    </rPh>
    <rPh sb="3" eb="5">
      <t>チンジョウ</t>
    </rPh>
    <rPh sb="6" eb="8">
      <t>ケンスウ</t>
    </rPh>
    <phoneticPr fontId="5"/>
  </si>
  <si>
    <t>定 例 会</t>
    <rPh sb="0" eb="1">
      <t>サダム</t>
    </rPh>
    <rPh sb="2" eb="3">
      <t>レイ</t>
    </rPh>
    <rPh sb="4" eb="5">
      <t>カイ</t>
    </rPh>
    <phoneticPr fontId="5"/>
  </si>
  <si>
    <t>臨 時 会</t>
    <rPh sb="0" eb="1">
      <t>リン</t>
    </rPh>
    <rPh sb="2" eb="3">
      <t>トキ</t>
    </rPh>
    <rPh sb="4" eb="5">
      <t>カイ</t>
    </rPh>
    <phoneticPr fontId="5"/>
  </si>
  <si>
    <t>市長提出</t>
    <rPh sb="0" eb="2">
      <t>シチョウ</t>
    </rPh>
    <rPh sb="2" eb="4">
      <t>テイシュツ</t>
    </rPh>
    <phoneticPr fontId="5"/>
  </si>
  <si>
    <t>議員提出</t>
    <rPh sb="0" eb="2">
      <t>ギイン</t>
    </rPh>
    <rPh sb="2" eb="4">
      <t>テイシュツ</t>
    </rPh>
    <phoneticPr fontId="5"/>
  </si>
  <si>
    <t>専決処分
報　　告</t>
    <rPh sb="0" eb="2">
      <t>センケツ</t>
    </rPh>
    <rPh sb="2" eb="4">
      <t>ショブン</t>
    </rPh>
    <rPh sb="5" eb="6">
      <t>ホウ</t>
    </rPh>
    <rPh sb="8" eb="9">
      <t>コク</t>
    </rPh>
    <phoneticPr fontId="5"/>
  </si>
  <si>
    <t>回</t>
    <rPh sb="0" eb="1">
      <t>カイ</t>
    </rPh>
    <phoneticPr fontId="5"/>
  </si>
  <si>
    <t>日</t>
    <rPh sb="0" eb="1">
      <t>ヒ</t>
    </rPh>
    <phoneticPr fontId="5"/>
  </si>
  <si>
    <t>件</t>
    <phoneticPr fontId="5"/>
  </si>
  <si>
    <t>平成</t>
    <rPh sb="0" eb="2">
      <t>ヘイセイ</t>
    </rPh>
    <phoneticPr fontId="5"/>
  </si>
  <si>
    <t>令和</t>
    <rPh sb="0" eb="2">
      <t>レイワ</t>
    </rPh>
    <phoneticPr fontId="5"/>
  </si>
  <si>
    <t>元</t>
    <rPh sb="0" eb="1">
      <t>モト</t>
    </rPh>
    <phoneticPr fontId="5"/>
  </si>
  <si>
    <t>資料：議会事務局</t>
    <rPh sb="0" eb="2">
      <t>シリョウ</t>
    </rPh>
    <rPh sb="3" eb="5">
      <t>ギカイ</t>
    </rPh>
    <rPh sb="5" eb="8">
      <t>ジムキョク</t>
    </rPh>
    <phoneticPr fontId="5"/>
  </si>
  <si>
    <t>市議会委員会の状況</t>
    <rPh sb="0" eb="1">
      <t>シ</t>
    </rPh>
    <rPh sb="1" eb="3">
      <t>ギカイ</t>
    </rPh>
    <rPh sb="3" eb="6">
      <t>イインカイ</t>
    </rPh>
    <rPh sb="7" eb="9">
      <t>ジョウキョウ</t>
    </rPh>
    <phoneticPr fontId="5"/>
  </si>
  <si>
    <t>各年12月31日現在</t>
    <rPh sb="0" eb="2">
      <t>カクネン</t>
    </rPh>
    <phoneticPr fontId="5"/>
  </si>
  <si>
    <t>議会運営委員会</t>
    <rPh sb="0" eb="2">
      <t>ギカイ</t>
    </rPh>
    <rPh sb="2" eb="4">
      <t>ウンエイ</t>
    </rPh>
    <rPh sb="4" eb="7">
      <t>イインカイ</t>
    </rPh>
    <phoneticPr fontId="5"/>
  </si>
  <si>
    <t>全員協議会</t>
    <rPh sb="0" eb="2">
      <t>ゼンイン</t>
    </rPh>
    <rPh sb="2" eb="5">
      <t>キョウギカイ</t>
    </rPh>
    <phoneticPr fontId="5"/>
  </si>
  <si>
    <t>総務産業委員会</t>
    <rPh sb="0" eb="2">
      <t>ソウム</t>
    </rPh>
    <rPh sb="2" eb="4">
      <t>サンギョウ</t>
    </rPh>
    <rPh sb="4" eb="7">
      <t>イインカイ</t>
    </rPh>
    <phoneticPr fontId="5"/>
  </si>
  <si>
    <t>社会文教委員会</t>
    <rPh sb="0" eb="2">
      <t>シャカイ</t>
    </rPh>
    <rPh sb="2" eb="4">
      <t>ブンキョウ</t>
    </rPh>
    <rPh sb="4" eb="7">
      <t>イインカイ</t>
    </rPh>
    <phoneticPr fontId="5"/>
  </si>
  <si>
    <t>委員数</t>
    <rPh sb="0" eb="3">
      <t>イインスウ</t>
    </rPh>
    <phoneticPr fontId="5"/>
  </si>
  <si>
    <t>開催日数</t>
    <rPh sb="0" eb="2">
      <t>カイサイ</t>
    </rPh>
    <rPh sb="2" eb="4">
      <t>ニッスウ</t>
    </rPh>
    <phoneticPr fontId="5"/>
  </si>
  <si>
    <t>日</t>
  </si>
  <si>
    <t>年</t>
    <phoneticPr fontId="5"/>
  </si>
  <si>
    <t>市議会会派別議員数</t>
    <rPh sb="0" eb="1">
      <t>シ</t>
    </rPh>
    <rPh sb="1" eb="3">
      <t>ギカイ</t>
    </rPh>
    <rPh sb="3" eb="5">
      <t>カイハ</t>
    </rPh>
    <rPh sb="5" eb="6">
      <t>ベツ</t>
    </rPh>
    <rPh sb="6" eb="8">
      <t>ギイン</t>
    </rPh>
    <rPh sb="8" eb="9">
      <t>スウ</t>
    </rPh>
    <phoneticPr fontId="5"/>
  </si>
  <si>
    <t>令和6年12月31日現在</t>
    <rPh sb="0" eb="1">
      <t>レイ</t>
    </rPh>
    <rPh sb="1" eb="2">
      <t>カズ</t>
    </rPh>
    <rPh sb="3" eb="4">
      <t>ネン</t>
    </rPh>
    <rPh sb="4" eb="5">
      <t>ヘイネン</t>
    </rPh>
    <rPh sb="6" eb="7">
      <t>ガツ</t>
    </rPh>
    <rPh sb="9" eb="12">
      <t>ニチゲンザイ</t>
    </rPh>
    <phoneticPr fontId="5"/>
  </si>
  <si>
    <t>結成期間</t>
    <rPh sb="0" eb="2">
      <t>ケッセイ</t>
    </rPh>
    <rPh sb="2" eb="4">
      <t>キカン</t>
    </rPh>
    <phoneticPr fontId="5"/>
  </si>
  <si>
    <t>定数</t>
    <rPh sb="0" eb="2">
      <t>テイスウ</t>
    </rPh>
    <phoneticPr fontId="5"/>
  </si>
  <si>
    <t>会　　　　　　　　　　派　　　　　　　　　　別</t>
    <rPh sb="0" eb="1">
      <t>カイ</t>
    </rPh>
    <rPh sb="11" eb="12">
      <t>ハ</t>
    </rPh>
    <rPh sb="22" eb="23">
      <t>ベツ</t>
    </rPh>
    <phoneticPr fontId="5"/>
  </si>
  <si>
    <t>自H11.12.10</t>
    <rPh sb="0" eb="1">
      <t>ジ</t>
    </rPh>
    <phoneticPr fontId="5"/>
  </si>
  <si>
    <t>政友クラブ</t>
    <rPh sb="0" eb="2">
      <t>セイユウ</t>
    </rPh>
    <phoneticPr fontId="5"/>
  </si>
  <si>
    <t>新世クラブ</t>
    <rPh sb="0" eb="1">
      <t>シン</t>
    </rPh>
    <rPh sb="1" eb="2">
      <t>セイ</t>
    </rPh>
    <phoneticPr fontId="5"/>
  </si>
  <si>
    <t>市民クラブ</t>
    <rPh sb="0" eb="2">
      <t>シミン</t>
    </rPh>
    <phoneticPr fontId="5"/>
  </si>
  <si>
    <t>日本共産党</t>
    <rPh sb="0" eb="2">
      <t>ニホン</t>
    </rPh>
    <rPh sb="2" eb="5">
      <t>キョウサントウ</t>
    </rPh>
    <phoneticPr fontId="5"/>
  </si>
  <si>
    <t>無会派</t>
    <rPh sb="0" eb="1">
      <t>ム</t>
    </rPh>
    <rPh sb="1" eb="3">
      <t>カイハ</t>
    </rPh>
    <phoneticPr fontId="5"/>
  </si>
  <si>
    <t>至H13. 5.30</t>
    <rPh sb="0" eb="1">
      <t>イタル</t>
    </rPh>
    <phoneticPr fontId="5"/>
  </si>
  <si>
    <t>自H13. 5.31</t>
    <rPh sb="0" eb="1">
      <t>ジ</t>
    </rPh>
    <phoneticPr fontId="5"/>
  </si>
  <si>
    <t>至H14. 9.23</t>
    <rPh sb="0" eb="1">
      <t>イタル</t>
    </rPh>
    <phoneticPr fontId="5"/>
  </si>
  <si>
    <t>自H14. 9.24</t>
    <rPh sb="0" eb="1">
      <t>ジ</t>
    </rPh>
    <phoneticPr fontId="5"/>
  </si>
  <si>
    <t>無所属の会</t>
    <rPh sb="0" eb="3">
      <t>ムショゾク</t>
    </rPh>
    <rPh sb="4" eb="5">
      <t>カイ</t>
    </rPh>
    <phoneticPr fontId="5"/>
  </si>
  <si>
    <t>至H15. 4.29</t>
    <rPh sb="0" eb="1">
      <t>イタル</t>
    </rPh>
    <phoneticPr fontId="5"/>
  </si>
  <si>
    <t>自H15. 5.13</t>
    <rPh sb="0" eb="1">
      <t>ジ</t>
    </rPh>
    <phoneticPr fontId="5"/>
  </si>
  <si>
    <t>民声クラブ</t>
    <rPh sb="0" eb="1">
      <t>タミ</t>
    </rPh>
    <rPh sb="1" eb="2">
      <t>コエ</t>
    </rPh>
    <phoneticPr fontId="5"/>
  </si>
  <si>
    <t>虹と緑の会</t>
    <rPh sb="0" eb="1">
      <t>ニジ</t>
    </rPh>
    <rPh sb="2" eb="3">
      <t>ミドリ</t>
    </rPh>
    <rPh sb="4" eb="5">
      <t>カイ</t>
    </rPh>
    <phoneticPr fontId="5"/>
  </si>
  <si>
    <t>至H15. 6. 1</t>
    <rPh sb="0" eb="1">
      <t>イタル</t>
    </rPh>
    <phoneticPr fontId="5"/>
  </si>
  <si>
    <t>自H15. 6. 2</t>
    <rPh sb="0" eb="1">
      <t>ジ</t>
    </rPh>
    <phoneticPr fontId="5"/>
  </si>
  <si>
    <t>至H15.12.16</t>
    <rPh sb="0" eb="1">
      <t>イタル</t>
    </rPh>
    <phoneticPr fontId="5"/>
  </si>
  <si>
    <t>自H15.12.17</t>
    <rPh sb="0" eb="1">
      <t>ジ</t>
    </rPh>
    <phoneticPr fontId="5"/>
  </si>
  <si>
    <t>至H16.11.28</t>
    <rPh sb="0" eb="1">
      <t>イタル</t>
    </rPh>
    <phoneticPr fontId="5"/>
  </si>
  <si>
    <t>自H16.11.29</t>
    <rPh sb="0" eb="1">
      <t>ジ</t>
    </rPh>
    <phoneticPr fontId="5"/>
  </si>
  <si>
    <t>至H18. 2. 5</t>
    <rPh sb="0" eb="1">
      <t>イタル</t>
    </rPh>
    <phoneticPr fontId="5"/>
  </si>
  <si>
    <t>自H18. 2. 6</t>
    <rPh sb="0" eb="1">
      <t>ジ</t>
    </rPh>
    <phoneticPr fontId="5"/>
  </si>
  <si>
    <t>至H18. 7.18</t>
    <rPh sb="0" eb="1">
      <t>イタル</t>
    </rPh>
    <phoneticPr fontId="5"/>
  </si>
  <si>
    <t>自H18. 7.19</t>
    <rPh sb="0" eb="1">
      <t>ジ</t>
    </rPh>
    <phoneticPr fontId="5"/>
  </si>
  <si>
    <t>至H19. 2.18</t>
    <rPh sb="0" eb="1">
      <t>イタル</t>
    </rPh>
    <phoneticPr fontId="5"/>
  </si>
  <si>
    <t>自H19. 2.19</t>
    <rPh sb="0" eb="1">
      <t>ジ</t>
    </rPh>
    <phoneticPr fontId="5"/>
  </si>
  <si>
    <t>至H19. 4.29</t>
    <rPh sb="0" eb="1">
      <t>イタル</t>
    </rPh>
    <phoneticPr fontId="5"/>
  </si>
  <si>
    <t>自H19. 5. 9</t>
    <rPh sb="0" eb="1">
      <t>ジ</t>
    </rPh>
    <phoneticPr fontId="5"/>
  </si>
  <si>
    <t>至H19.10.30</t>
    <rPh sb="0" eb="1">
      <t>イタル</t>
    </rPh>
    <phoneticPr fontId="5"/>
  </si>
  <si>
    <t>自H19.10.31</t>
    <rPh sb="0" eb="1">
      <t>ジ</t>
    </rPh>
    <phoneticPr fontId="5"/>
  </si>
  <si>
    <t>至H19.12.20</t>
    <rPh sb="0" eb="1">
      <t>イタル</t>
    </rPh>
    <phoneticPr fontId="5"/>
  </si>
  <si>
    <t>自H19.12.21</t>
    <rPh sb="0" eb="1">
      <t>ジ</t>
    </rPh>
    <phoneticPr fontId="5"/>
  </si>
  <si>
    <t>至H22. 7.12</t>
    <rPh sb="0" eb="1">
      <t>イタル</t>
    </rPh>
    <phoneticPr fontId="5"/>
  </si>
  <si>
    <t>自H22. 7.13</t>
    <rPh sb="0" eb="1">
      <t>ジ</t>
    </rPh>
    <phoneticPr fontId="5"/>
  </si>
  <si>
    <t>至H23. 4.29</t>
    <rPh sb="0" eb="1">
      <t>イタル</t>
    </rPh>
    <phoneticPr fontId="5"/>
  </si>
  <si>
    <t>自H23. 5.11</t>
    <rPh sb="0" eb="1">
      <t>ジ</t>
    </rPh>
    <phoneticPr fontId="5"/>
  </si>
  <si>
    <t>至H26.11. 9</t>
    <rPh sb="0" eb="1">
      <t>イタル</t>
    </rPh>
    <phoneticPr fontId="5"/>
  </si>
  <si>
    <t>自H26.11.10</t>
    <rPh sb="0" eb="1">
      <t>ジ</t>
    </rPh>
    <phoneticPr fontId="5"/>
  </si>
  <si>
    <t>至H27. 4.29</t>
    <rPh sb="0" eb="1">
      <t>イタル</t>
    </rPh>
    <phoneticPr fontId="5"/>
  </si>
  <si>
    <t>自H27. 5.11</t>
    <rPh sb="0" eb="1">
      <t>ジ</t>
    </rPh>
    <phoneticPr fontId="5"/>
  </si>
  <si>
    <t>至H27.12. 4</t>
    <rPh sb="0" eb="1">
      <t>イタル</t>
    </rPh>
    <phoneticPr fontId="5"/>
  </si>
  <si>
    <t>自H27.12. 4</t>
    <rPh sb="0" eb="1">
      <t>ジ</t>
    </rPh>
    <phoneticPr fontId="5"/>
  </si>
  <si>
    <t>至H29. 4.27</t>
    <rPh sb="0" eb="1">
      <t>イタル</t>
    </rPh>
    <phoneticPr fontId="5"/>
  </si>
  <si>
    <t>自H29. 4.27</t>
    <rPh sb="0" eb="1">
      <t>ジ</t>
    </rPh>
    <phoneticPr fontId="5"/>
  </si>
  <si>
    <t>至H29. 5. 9</t>
    <rPh sb="0" eb="1">
      <t>イタル</t>
    </rPh>
    <phoneticPr fontId="5"/>
  </si>
  <si>
    <t>自H29. 5. 9</t>
    <rPh sb="0" eb="1">
      <t>ジ</t>
    </rPh>
    <phoneticPr fontId="5"/>
  </si>
  <si>
    <t>至H31. 4.29</t>
    <rPh sb="0" eb="1">
      <t>イタル</t>
    </rPh>
    <phoneticPr fontId="5"/>
  </si>
  <si>
    <t>自R元. 5.14</t>
    <rPh sb="0" eb="1">
      <t>ジ</t>
    </rPh>
    <rPh sb="2" eb="3">
      <t>モト</t>
    </rPh>
    <phoneticPr fontId="5"/>
  </si>
  <si>
    <t>創生みらい</t>
    <rPh sb="0" eb="2">
      <t>ソウセイ</t>
    </rPh>
    <phoneticPr fontId="5"/>
  </si>
  <si>
    <t>無所属クラブ</t>
    <rPh sb="0" eb="3">
      <t>ムショゾク</t>
    </rPh>
    <phoneticPr fontId="5"/>
  </si>
  <si>
    <t>至R 5. 2.20</t>
    <rPh sb="0" eb="1">
      <t>イタル</t>
    </rPh>
    <phoneticPr fontId="5"/>
  </si>
  <si>
    <t>自R 5. 2.21</t>
    <rPh sb="0" eb="1">
      <t>ジ</t>
    </rPh>
    <phoneticPr fontId="5"/>
  </si>
  <si>
    <t>至R 5. 5. 7</t>
    <rPh sb="0" eb="1">
      <t>イタル</t>
    </rPh>
    <phoneticPr fontId="5"/>
  </si>
  <si>
    <t>自R 5. 5. 8</t>
    <rPh sb="0" eb="1">
      <t>ジ</t>
    </rPh>
    <phoneticPr fontId="5"/>
  </si>
  <si>
    <t>峻嶺会</t>
    <rPh sb="0" eb="1">
      <t>シュン</t>
    </rPh>
    <rPh sb="1" eb="2">
      <t>レイ</t>
    </rPh>
    <rPh sb="2" eb="3">
      <t>カイ</t>
    </rPh>
    <phoneticPr fontId="5"/>
  </si>
  <si>
    <t>至</t>
    <rPh sb="0" eb="1">
      <t>イタル</t>
    </rPh>
    <phoneticPr fontId="5"/>
  </si>
  <si>
    <t>年齢別議員数</t>
    <rPh sb="0" eb="2">
      <t>ネンレイ</t>
    </rPh>
    <rPh sb="2" eb="3">
      <t>ベツ</t>
    </rPh>
    <rPh sb="3" eb="6">
      <t>ギインスウ</t>
    </rPh>
    <phoneticPr fontId="5"/>
  </si>
  <si>
    <t>各年5月1日現在</t>
    <rPh sb="0" eb="2">
      <t>カクネン</t>
    </rPh>
    <rPh sb="3" eb="4">
      <t>ガツ</t>
    </rPh>
    <rPh sb="5" eb="6">
      <t>ニチ</t>
    </rPh>
    <rPh sb="6" eb="8">
      <t>ゲンザイ</t>
    </rPh>
    <phoneticPr fontId="5"/>
  </si>
  <si>
    <t>年　　　　　　　　　　齢　　　　　　　　　　別</t>
    <rPh sb="0" eb="1">
      <t>トシ</t>
    </rPh>
    <rPh sb="11" eb="12">
      <t>ヨワイ</t>
    </rPh>
    <rPh sb="22" eb="23">
      <t>ベツ</t>
    </rPh>
    <phoneticPr fontId="5"/>
  </si>
  <si>
    <t>25～34歳</t>
    <rPh sb="5" eb="6">
      <t>サイ</t>
    </rPh>
    <phoneticPr fontId="5"/>
  </si>
  <si>
    <t>35～39歳</t>
    <rPh sb="5" eb="6">
      <t>サイ</t>
    </rPh>
    <phoneticPr fontId="5"/>
  </si>
  <si>
    <t>40～44歳</t>
    <rPh sb="5" eb="6">
      <t>サイ</t>
    </rPh>
    <phoneticPr fontId="5"/>
  </si>
  <si>
    <t>45～49歳</t>
    <rPh sb="5" eb="6">
      <t>サイ</t>
    </rPh>
    <phoneticPr fontId="5"/>
  </si>
  <si>
    <t>50～54歳</t>
    <rPh sb="5" eb="6">
      <t>サイ</t>
    </rPh>
    <phoneticPr fontId="5"/>
  </si>
  <si>
    <t>55～59歳</t>
    <rPh sb="5" eb="6">
      <t>サイ</t>
    </rPh>
    <phoneticPr fontId="5"/>
  </si>
  <si>
    <t>60～64歳</t>
    <rPh sb="5" eb="6">
      <t>サイ</t>
    </rPh>
    <phoneticPr fontId="5"/>
  </si>
  <si>
    <t>70歳以上</t>
    <rPh sb="2" eb="3">
      <t>サイ</t>
    </rPh>
    <rPh sb="3" eb="5">
      <t>イジョウ</t>
    </rPh>
    <phoneticPr fontId="5"/>
  </si>
  <si>
    <t>元</t>
    <rPh sb="0" eb="1">
      <t>ガン</t>
    </rPh>
    <phoneticPr fontId="5"/>
  </si>
  <si>
    <t>選 挙 の 執 行 状 況</t>
    <rPh sb="0" eb="1">
      <t>セン</t>
    </rPh>
    <rPh sb="2" eb="3">
      <t>キョ</t>
    </rPh>
    <rPh sb="6" eb="7">
      <t>シツ</t>
    </rPh>
    <rPh sb="8" eb="9">
      <t>ギョウ</t>
    </rPh>
    <rPh sb="10" eb="11">
      <t>ジョウ</t>
    </rPh>
    <rPh sb="12" eb="13">
      <t>イワン</t>
    </rPh>
    <phoneticPr fontId="5"/>
  </si>
  <si>
    <t>注）合併前は旧大町市の数値である。</t>
    <rPh sb="11" eb="13">
      <t>スウチ</t>
    </rPh>
    <phoneticPr fontId="5"/>
  </si>
  <si>
    <t>執行年月日</t>
    <rPh sb="0" eb="2">
      <t>シッコウ</t>
    </rPh>
    <rPh sb="2" eb="5">
      <t>ネンガッピ</t>
    </rPh>
    <phoneticPr fontId="5"/>
  </si>
  <si>
    <t>当 日 の 有 権 者</t>
    <rPh sb="0" eb="1">
      <t>トウ</t>
    </rPh>
    <rPh sb="2" eb="3">
      <t>ヒ</t>
    </rPh>
    <rPh sb="6" eb="7">
      <t>ユウ</t>
    </rPh>
    <rPh sb="8" eb="9">
      <t>ケン</t>
    </rPh>
    <rPh sb="10" eb="11">
      <t>モノ</t>
    </rPh>
    <phoneticPr fontId="5"/>
  </si>
  <si>
    <t>投  票  者  数</t>
    <rPh sb="0" eb="1">
      <t>ナ</t>
    </rPh>
    <rPh sb="3" eb="4">
      <t>ヒョウ</t>
    </rPh>
    <rPh sb="6" eb="7">
      <t>モノ</t>
    </rPh>
    <rPh sb="9" eb="10">
      <t>スウ</t>
    </rPh>
    <phoneticPr fontId="5"/>
  </si>
  <si>
    <t>投  票  率 （％）</t>
    <rPh sb="0" eb="1">
      <t>ナ</t>
    </rPh>
    <rPh sb="3" eb="4">
      <t>ヒョウ</t>
    </rPh>
    <rPh sb="6" eb="7">
      <t>リツ</t>
    </rPh>
    <phoneticPr fontId="5"/>
  </si>
  <si>
    <t>大町市長選挙</t>
    <rPh sb="0" eb="1">
      <t>ダイ</t>
    </rPh>
    <rPh sb="1" eb="2">
      <t>マチ</t>
    </rPh>
    <rPh sb="2" eb="3">
      <t>シ</t>
    </rPh>
    <rPh sb="3" eb="4">
      <t>チョウ</t>
    </rPh>
    <rPh sb="4" eb="5">
      <t>セン</t>
    </rPh>
    <rPh sb="5" eb="6">
      <t>キョ</t>
    </rPh>
    <phoneticPr fontId="5"/>
  </si>
  <si>
    <t>61. 6.29</t>
    <phoneticPr fontId="5"/>
  </si>
  <si>
    <t>―</t>
    <phoneticPr fontId="5"/>
  </si>
  <si>
    <t>（無投票）</t>
    <rPh sb="1" eb="4">
      <t>ムトウヒョウ</t>
    </rPh>
    <phoneticPr fontId="5"/>
  </si>
  <si>
    <t>参 議 院 議 員 通 常 選 挙</t>
    <rPh sb="0" eb="1">
      <t>サン</t>
    </rPh>
    <rPh sb="2" eb="3">
      <t>ギ</t>
    </rPh>
    <rPh sb="4" eb="5">
      <t>イン</t>
    </rPh>
    <rPh sb="6" eb="7">
      <t>ギ</t>
    </rPh>
    <rPh sb="8" eb="9">
      <t>イン</t>
    </rPh>
    <rPh sb="10" eb="11">
      <t>ツウ</t>
    </rPh>
    <rPh sb="12" eb="13">
      <t>ジョウ</t>
    </rPh>
    <rPh sb="14" eb="15">
      <t>セン</t>
    </rPh>
    <rPh sb="16" eb="17">
      <t>キョ</t>
    </rPh>
    <phoneticPr fontId="5"/>
  </si>
  <si>
    <t>61. 7. 6</t>
    <phoneticPr fontId="5"/>
  </si>
  <si>
    <t>衆 議 院 議 員 総 選 挙</t>
    <rPh sb="0" eb="1">
      <t>シュウ</t>
    </rPh>
    <rPh sb="2" eb="3">
      <t>ギ</t>
    </rPh>
    <rPh sb="4" eb="5">
      <t>イン</t>
    </rPh>
    <rPh sb="6" eb="7">
      <t>ギ</t>
    </rPh>
    <rPh sb="8" eb="9">
      <t>イン</t>
    </rPh>
    <rPh sb="10" eb="11">
      <t>フサ</t>
    </rPh>
    <rPh sb="12" eb="13">
      <t>セン</t>
    </rPh>
    <rPh sb="14" eb="15">
      <t>キョ</t>
    </rPh>
    <phoneticPr fontId="5"/>
  </si>
  <si>
    <t>最高裁判所裁判官国民審査</t>
    <rPh sb="0" eb="2">
      <t>サイコウ</t>
    </rPh>
    <rPh sb="2" eb="4">
      <t>サイバン</t>
    </rPh>
    <rPh sb="4" eb="5">
      <t>ショ</t>
    </rPh>
    <rPh sb="5" eb="8">
      <t>サイバンカン</t>
    </rPh>
    <rPh sb="8" eb="10">
      <t>コクミン</t>
    </rPh>
    <rPh sb="10" eb="12">
      <t>シンサ</t>
    </rPh>
    <phoneticPr fontId="5"/>
  </si>
  <si>
    <t>長野県議会議員一般選挙</t>
    <rPh sb="0" eb="2">
      <t>ナガノ</t>
    </rPh>
    <rPh sb="2" eb="5">
      <t>ケンギカイ</t>
    </rPh>
    <rPh sb="5" eb="7">
      <t>ギイン</t>
    </rPh>
    <rPh sb="7" eb="9">
      <t>イッパン</t>
    </rPh>
    <rPh sb="9" eb="11">
      <t>センキョ</t>
    </rPh>
    <phoneticPr fontId="5"/>
  </si>
  <si>
    <t>62. 4.12</t>
    <phoneticPr fontId="5"/>
  </si>
  <si>
    <t>大町市議会議員一般選挙</t>
    <rPh sb="0" eb="2">
      <t>オオマチ</t>
    </rPh>
    <rPh sb="2" eb="3">
      <t>シ</t>
    </rPh>
    <rPh sb="3" eb="5">
      <t>ギカイ</t>
    </rPh>
    <rPh sb="5" eb="7">
      <t>ギイン</t>
    </rPh>
    <rPh sb="7" eb="9">
      <t>イッパン</t>
    </rPh>
    <rPh sb="9" eb="11">
      <t>センキョ</t>
    </rPh>
    <phoneticPr fontId="5"/>
  </si>
  <si>
    <t>62. 4.26</t>
    <phoneticPr fontId="5"/>
  </si>
  <si>
    <t>長　野　県　知　事　選　挙</t>
    <rPh sb="0" eb="1">
      <t>オサ</t>
    </rPh>
    <rPh sb="2" eb="3">
      <t>ノ</t>
    </rPh>
    <rPh sb="4" eb="5">
      <t>ケン</t>
    </rPh>
    <rPh sb="6" eb="7">
      <t>チ</t>
    </rPh>
    <rPh sb="8" eb="9">
      <t>コト</t>
    </rPh>
    <rPh sb="10" eb="11">
      <t>セン</t>
    </rPh>
    <rPh sb="12" eb="13">
      <t>キョ</t>
    </rPh>
    <phoneticPr fontId="5"/>
  </si>
  <si>
    <t>63.10.16</t>
    <phoneticPr fontId="5"/>
  </si>
  <si>
    <t>元. 7.23</t>
    <rPh sb="0" eb="1">
      <t>ゲン</t>
    </rPh>
    <phoneticPr fontId="5"/>
  </si>
  <si>
    <t>2. 2.18</t>
    <phoneticPr fontId="5"/>
  </si>
  <si>
    <t>大　町　市　長　選　挙</t>
    <rPh sb="0" eb="1">
      <t>ダイ</t>
    </rPh>
    <rPh sb="2" eb="3">
      <t>マチ</t>
    </rPh>
    <rPh sb="4" eb="5">
      <t>シ</t>
    </rPh>
    <rPh sb="6" eb="7">
      <t>チョウ</t>
    </rPh>
    <rPh sb="8" eb="9">
      <t>セン</t>
    </rPh>
    <rPh sb="10" eb="11">
      <t>キョ</t>
    </rPh>
    <phoneticPr fontId="5"/>
  </si>
  <si>
    <t>2. 7. 1</t>
    <phoneticPr fontId="5"/>
  </si>
  <si>
    <t>3. 4. 7</t>
    <phoneticPr fontId="5"/>
  </si>
  <si>
    <t>大町市議会議員一般選挙</t>
    <rPh sb="0" eb="3">
      <t>オオマチシ</t>
    </rPh>
    <rPh sb="3" eb="5">
      <t>ギカイ</t>
    </rPh>
    <rPh sb="5" eb="7">
      <t>ギイン</t>
    </rPh>
    <rPh sb="7" eb="9">
      <t>イッパン</t>
    </rPh>
    <rPh sb="9" eb="11">
      <t>センキョ</t>
    </rPh>
    <phoneticPr fontId="5"/>
  </si>
  <si>
    <t>3. 4.21</t>
    <phoneticPr fontId="5"/>
  </si>
  <si>
    <t>4. 7.26</t>
    <phoneticPr fontId="5"/>
  </si>
  <si>
    <t>4.10.18</t>
    <phoneticPr fontId="5"/>
  </si>
  <si>
    <t>5. 7.18</t>
    <phoneticPr fontId="5"/>
  </si>
  <si>
    <t>6. 6.26</t>
    <phoneticPr fontId="5"/>
  </si>
  <si>
    <t>7. 4. 9</t>
    <phoneticPr fontId="5"/>
  </si>
  <si>
    <t>7. 4.23</t>
    <phoneticPr fontId="5"/>
  </si>
  <si>
    <t>7. 7.23</t>
    <phoneticPr fontId="5"/>
  </si>
  <si>
    <t>8.10.20</t>
    <phoneticPr fontId="5"/>
  </si>
  <si>
    <t>衆議院小選挙区選出議員選挙</t>
    <rPh sb="0" eb="3">
      <t>シュウギイン</t>
    </rPh>
    <rPh sb="3" eb="4">
      <t>ショウ</t>
    </rPh>
    <rPh sb="4" eb="7">
      <t>センキョク</t>
    </rPh>
    <rPh sb="7" eb="9">
      <t>センシュツ</t>
    </rPh>
    <rPh sb="9" eb="11">
      <t>ギイン</t>
    </rPh>
    <rPh sb="11" eb="13">
      <t>センキョ</t>
    </rPh>
    <phoneticPr fontId="5"/>
  </si>
  <si>
    <t>衆議院比例代表選出議員選挙</t>
    <rPh sb="0" eb="3">
      <t>シュウギイン</t>
    </rPh>
    <rPh sb="3" eb="5">
      <t>ヒレイ</t>
    </rPh>
    <rPh sb="5" eb="7">
      <t>ダイヒョウ</t>
    </rPh>
    <rPh sb="7" eb="9">
      <t>センシュツ</t>
    </rPh>
    <rPh sb="9" eb="11">
      <t>ギイン</t>
    </rPh>
    <rPh sb="11" eb="13">
      <t>センキョ</t>
    </rPh>
    <phoneticPr fontId="5"/>
  </si>
  <si>
    <t>10. 6.28</t>
    <phoneticPr fontId="5"/>
  </si>
  <si>
    <t>10. 7.12</t>
    <phoneticPr fontId="5"/>
  </si>
  <si>
    <t>11. 4.11</t>
    <phoneticPr fontId="5"/>
  </si>
  <si>
    <t>11. 4.25</t>
    <phoneticPr fontId="5"/>
  </si>
  <si>
    <t>参議院長野県選出議員補欠選挙</t>
    <rPh sb="0" eb="3">
      <t>サンギイン</t>
    </rPh>
    <rPh sb="3" eb="6">
      <t>ナガノケン</t>
    </rPh>
    <rPh sb="6" eb="8">
      <t>センシュツ</t>
    </rPh>
    <rPh sb="8" eb="10">
      <t>ギイン</t>
    </rPh>
    <rPh sb="10" eb="12">
      <t>ホケツ</t>
    </rPh>
    <rPh sb="12" eb="14">
      <t>センキョ</t>
    </rPh>
    <phoneticPr fontId="5"/>
  </si>
  <si>
    <t>11.10.17</t>
    <phoneticPr fontId="5"/>
  </si>
  <si>
    <t>12. 6.25</t>
    <phoneticPr fontId="5"/>
  </si>
  <si>
    <t>12.10.15</t>
    <phoneticPr fontId="5"/>
  </si>
  <si>
    <t>参議院長野県選出議員選挙</t>
    <rPh sb="0" eb="1">
      <t>サン</t>
    </rPh>
    <rPh sb="1" eb="2">
      <t>ギ</t>
    </rPh>
    <rPh sb="2" eb="3">
      <t>イン</t>
    </rPh>
    <rPh sb="3" eb="6">
      <t>ナガノケン</t>
    </rPh>
    <rPh sb="6" eb="8">
      <t>センシュツ</t>
    </rPh>
    <rPh sb="8" eb="10">
      <t>ギイン</t>
    </rPh>
    <rPh sb="10" eb="11">
      <t>セン</t>
    </rPh>
    <rPh sb="11" eb="12">
      <t>キョ</t>
    </rPh>
    <phoneticPr fontId="5"/>
  </si>
  <si>
    <t>13. 7.29</t>
    <phoneticPr fontId="5"/>
  </si>
  <si>
    <t>参議院比例代表選出議員選挙</t>
    <rPh sb="0" eb="1">
      <t>サン</t>
    </rPh>
    <rPh sb="1" eb="2">
      <t>ギ</t>
    </rPh>
    <rPh sb="2" eb="3">
      <t>イン</t>
    </rPh>
    <rPh sb="3" eb="5">
      <t>ヒレイ</t>
    </rPh>
    <rPh sb="5" eb="7">
      <t>ダイヒョウ</t>
    </rPh>
    <rPh sb="7" eb="9">
      <t>センシュツ</t>
    </rPh>
    <rPh sb="9" eb="11">
      <t>ギイン</t>
    </rPh>
    <rPh sb="11" eb="12">
      <t>セン</t>
    </rPh>
    <rPh sb="12" eb="13">
      <t>キョ</t>
    </rPh>
    <phoneticPr fontId="5"/>
  </si>
  <si>
    <t>大町市長選挙</t>
    <rPh sb="0" eb="2">
      <t>オオマチ</t>
    </rPh>
    <rPh sb="2" eb="4">
      <t>シチョウ</t>
    </rPh>
    <rPh sb="4" eb="6">
      <t>センキョ</t>
    </rPh>
    <phoneticPr fontId="5"/>
  </si>
  <si>
    <t>14. 6.30</t>
    <phoneticPr fontId="5"/>
  </si>
  <si>
    <t>長野県知事選挙</t>
    <rPh sb="0" eb="2">
      <t>ナガノ</t>
    </rPh>
    <rPh sb="2" eb="5">
      <t>ケンチジ</t>
    </rPh>
    <rPh sb="5" eb="7">
      <t>センキョ</t>
    </rPh>
    <phoneticPr fontId="5"/>
  </si>
  <si>
    <t>14. 9. 1</t>
    <phoneticPr fontId="5"/>
  </si>
  <si>
    <t>長野県議会議員一般選挙</t>
    <rPh sb="0" eb="3">
      <t>ナガノケン</t>
    </rPh>
    <rPh sb="3" eb="5">
      <t>ギカイ</t>
    </rPh>
    <rPh sb="5" eb="7">
      <t>ギイン</t>
    </rPh>
    <rPh sb="7" eb="9">
      <t>イッパン</t>
    </rPh>
    <rPh sb="9" eb="11">
      <t>センキョ</t>
    </rPh>
    <phoneticPr fontId="5"/>
  </si>
  <si>
    <t>15. 4.13</t>
    <phoneticPr fontId="5"/>
  </si>
  <si>
    <t>15. 4.27</t>
    <phoneticPr fontId="5"/>
  </si>
  <si>
    <t>15.11. 9</t>
    <phoneticPr fontId="5"/>
  </si>
  <si>
    <t>16. 7.11</t>
    <phoneticPr fontId="5"/>
  </si>
  <si>
    <t>17. 9.11</t>
    <phoneticPr fontId="5"/>
  </si>
  <si>
    <t>18. 1.29</t>
    <phoneticPr fontId="5"/>
  </si>
  <si>
    <t>大町市長選挙</t>
    <rPh sb="0" eb="2">
      <t>オオマチ</t>
    </rPh>
    <rPh sb="2" eb="3">
      <t>シ</t>
    </rPh>
    <rPh sb="3" eb="4">
      <t>チョウ</t>
    </rPh>
    <rPh sb="4" eb="6">
      <t>センキョ</t>
    </rPh>
    <phoneticPr fontId="5"/>
  </si>
  <si>
    <t>18. 7. 2</t>
    <phoneticPr fontId="5"/>
  </si>
  <si>
    <t>大町市議会議員補欠選挙</t>
    <rPh sb="0" eb="2">
      <t>オオマチ</t>
    </rPh>
    <rPh sb="2" eb="3">
      <t>シ</t>
    </rPh>
    <rPh sb="3" eb="5">
      <t>ギカイ</t>
    </rPh>
    <rPh sb="5" eb="7">
      <t>ギイン</t>
    </rPh>
    <rPh sb="7" eb="9">
      <t>ホケツ</t>
    </rPh>
    <rPh sb="9" eb="11">
      <t>センキョ</t>
    </rPh>
    <phoneticPr fontId="5"/>
  </si>
  <si>
    <t xml:space="preserve"> （ 旧 大 町 市 の 区 域 ）</t>
    <rPh sb="3" eb="4">
      <t>キュウ</t>
    </rPh>
    <rPh sb="5" eb="6">
      <t>ダイ</t>
    </rPh>
    <rPh sb="7" eb="8">
      <t>マチ</t>
    </rPh>
    <rPh sb="9" eb="10">
      <t>シ</t>
    </rPh>
    <rPh sb="13" eb="14">
      <t>ク</t>
    </rPh>
    <rPh sb="15" eb="16">
      <t>イキ</t>
    </rPh>
    <phoneticPr fontId="5"/>
  </si>
  <si>
    <t>18. 8. 6</t>
    <phoneticPr fontId="5"/>
  </si>
  <si>
    <t>19. 4. 8</t>
    <phoneticPr fontId="5"/>
  </si>
  <si>
    <t>19. 4.22</t>
    <phoneticPr fontId="5"/>
  </si>
  <si>
    <t>19. 7.29</t>
    <phoneticPr fontId="5"/>
  </si>
  <si>
    <t>21. 8.30</t>
    <phoneticPr fontId="5"/>
  </si>
  <si>
    <t>22. 6.27</t>
    <phoneticPr fontId="5"/>
  </si>
  <si>
    <t>参議院長野県選出選挙</t>
    <rPh sb="0" eb="3">
      <t>サンギイン</t>
    </rPh>
    <rPh sb="3" eb="6">
      <t>ナガノケン</t>
    </rPh>
    <rPh sb="6" eb="8">
      <t>センシュツ</t>
    </rPh>
    <rPh sb="8" eb="10">
      <t>センキョ</t>
    </rPh>
    <phoneticPr fontId="5"/>
  </si>
  <si>
    <t>22. 7.11</t>
    <phoneticPr fontId="5"/>
  </si>
  <si>
    <t>22. 8. 8</t>
    <phoneticPr fontId="5"/>
  </si>
  <si>
    <t>23. 4.10</t>
    <phoneticPr fontId="5"/>
  </si>
  <si>
    <t>23. 4.24</t>
    <phoneticPr fontId="5"/>
  </si>
  <si>
    <t>24.12.16</t>
    <phoneticPr fontId="5"/>
  </si>
  <si>
    <t>25. 7.21</t>
    <phoneticPr fontId="5"/>
  </si>
  <si>
    <t>26. 6.29</t>
    <phoneticPr fontId="5"/>
  </si>
  <si>
    <t>（無投票）</t>
    <phoneticPr fontId="5"/>
  </si>
  <si>
    <t>26. 8.10</t>
    <phoneticPr fontId="5"/>
  </si>
  <si>
    <t>26.12.14</t>
    <phoneticPr fontId="5"/>
  </si>
  <si>
    <t>27. 4.12</t>
    <phoneticPr fontId="5"/>
  </si>
  <si>
    <t>27. 4.26</t>
    <phoneticPr fontId="5"/>
  </si>
  <si>
    <t>28. 7.10</t>
  </si>
  <si>
    <t>29.10.22</t>
    <phoneticPr fontId="5"/>
  </si>
  <si>
    <t>30. 7. 1</t>
    <phoneticPr fontId="5"/>
  </si>
  <si>
    <t>30. 8. 5</t>
    <phoneticPr fontId="5"/>
  </si>
  <si>
    <t>長野県議会議員一般選挙</t>
  </si>
  <si>
    <t>31. 4. 7</t>
  </si>
  <si>
    <t>大町市議会議員一般選挙</t>
  </si>
  <si>
    <t>31. 4.21</t>
  </si>
  <si>
    <t>参議院長野県選出議員選挙</t>
  </si>
  <si>
    <t>1.7.21</t>
  </si>
  <si>
    <t>参議院比例代表選出議員選挙</t>
  </si>
  <si>
    <t>参議院長野県選出議員補欠選挙</t>
    <rPh sb="0" eb="1">
      <t>サン</t>
    </rPh>
    <rPh sb="1" eb="2">
      <t>ギ</t>
    </rPh>
    <rPh sb="2" eb="3">
      <t>イン</t>
    </rPh>
    <rPh sb="3" eb="6">
      <t>ナガノケン</t>
    </rPh>
    <rPh sb="6" eb="8">
      <t>センシュツ</t>
    </rPh>
    <rPh sb="8" eb="10">
      <t>ギイン</t>
    </rPh>
    <rPh sb="10" eb="12">
      <t>ホケツ</t>
    </rPh>
    <rPh sb="12" eb="13">
      <t>セン</t>
    </rPh>
    <rPh sb="13" eb="14">
      <t>キョ</t>
    </rPh>
    <phoneticPr fontId="5"/>
  </si>
  <si>
    <t>3.4.25</t>
    <phoneticPr fontId="5"/>
  </si>
  <si>
    <t>3.10.31</t>
    <phoneticPr fontId="5"/>
  </si>
  <si>
    <t>4.4.26</t>
    <phoneticPr fontId="5"/>
  </si>
  <si>
    <t>4.7.10</t>
    <phoneticPr fontId="5"/>
  </si>
  <si>
    <t>4.8.7</t>
    <phoneticPr fontId="5"/>
  </si>
  <si>
    <t>5.4.9</t>
    <phoneticPr fontId="5"/>
  </si>
  <si>
    <t>5.4.23</t>
    <phoneticPr fontId="5"/>
  </si>
  <si>
    <t>資料：選挙管理委員会</t>
    <rPh sb="0" eb="2">
      <t>シリョウ</t>
    </rPh>
    <rPh sb="3" eb="5">
      <t>センキョ</t>
    </rPh>
    <rPh sb="5" eb="7">
      <t>カンリ</t>
    </rPh>
    <rPh sb="7" eb="10">
      <t>イインカイ</t>
    </rPh>
    <phoneticPr fontId="5"/>
  </si>
  <si>
    <t>選挙人名簿登録者数等の推移</t>
    <rPh sb="0" eb="2">
      <t>センキョ</t>
    </rPh>
    <rPh sb="2" eb="3">
      <t>ニン</t>
    </rPh>
    <rPh sb="3" eb="5">
      <t>メイボ</t>
    </rPh>
    <rPh sb="5" eb="8">
      <t>トウロクシャ</t>
    </rPh>
    <rPh sb="8" eb="9">
      <t>スウ</t>
    </rPh>
    <rPh sb="9" eb="10">
      <t>トウ</t>
    </rPh>
    <rPh sb="11" eb="13">
      <t>スイイ</t>
    </rPh>
    <phoneticPr fontId="5"/>
  </si>
  <si>
    <t>選挙人名簿登録者数</t>
    <rPh sb="0" eb="2">
      <t>センキョ</t>
    </rPh>
    <rPh sb="2" eb="3">
      <t>ニン</t>
    </rPh>
    <rPh sb="3" eb="5">
      <t>メイボ</t>
    </rPh>
    <rPh sb="5" eb="7">
      <t>トウロク</t>
    </rPh>
    <rPh sb="7" eb="8">
      <t>シャ</t>
    </rPh>
    <rPh sb="8" eb="9">
      <t>スウ</t>
    </rPh>
    <phoneticPr fontId="5"/>
  </si>
  <si>
    <t>人口100人に
対する有権者</t>
    <rPh sb="0" eb="2">
      <t>ジンコウ</t>
    </rPh>
    <rPh sb="5" eb="6">
      <t>ニン</t>
    </rPh>
    <rPh sb="8" eb="9">
      <t>タイ</t>
    </rPh>
    <rPh sb="11" eb="14">
      <t>ユウケンシャ</t>
    </rPh>
    <phoneticPr fontId="5"/>
  </si>
  <si>
    <t>在外選挙人名簿登録者数</t>
    <rPh sb="0" eb="2">
      <t>ザイガイ</t>
    </rPh>
    <rPh sb="2" eb="4">
      <t>センキョ</t>
    </rPh>
    <rPh sb="4" eb="5">
      <t>ニン</t>
    </rPh>
    <rPh sb="5" eb="7">
      <t>メイボ</t>
    </rPh>
    <rPh sb="7" eb="9">
      <t>トウロク</t>
    </rPh>
    <rPh sb="9" eb="10">
      <t>シャ</t>
    </rPh>
    <rPh sb="10" eb="11">
      <t>スウ</t>
    </rPh>
    <phoneticPr fontId="5"/>
  </si>
  <si>
    <t>資料：選挙管理委員会　</t>
    <rPh sb="0" eb="2">
      <t>シリョウ</t>
    </rPh>
    <rPh sb="3" eb="5">
      <t>センキョ</t>
    </rPh>
    <rPh sb="5" eb="7">
      <t>カンリ</t>
    </rPh>
    <rPh sb="7" eb="10">
      <t>イインカイ</t>
    </rPh>
    <phoneticPr fontId="5"/>
  </si>
  <si>
    <t>注) 1.  合併前は旧大町市の数値である。</t>
    <rPh sb="0" eb="1">
      <t>チュウ</t>
    </rPh>
    <rPh sb="7" eb="9">
      <t>ガッペイ</t>
    </rPh>
    <rPh sb="9" eb="10">
      <t>マエ</t>
    </rPh>
    <rPh sb="11" eb="12">
      <t>キュウ</t>
    </rPh>
    <rPh sb="12" eb="14">
      <t>オオマチ</t>
    </rPh>
    <rPh sb="14" eb="15">
      <t>シ</t>
    </rPh>
    <rPh sb="16" eb="18">
      <t>スウチ</t>
    </rPh>
    <phoneticPr fontId="5"/>
  </si>
  <si>
    <t>　　2.　選挙人名簿登録者は9月1日現在で9月2日に確定した数値(H29年から9月1日現在で、確定数字）</t>
    <phoneticPr fontId="5"/>
  </si>
  <si>
    <t xml:space="preserve">    3.　人口対比率は有権者総数を各年の10月1日現在の住民基本台帳による総人口で除した。</t>
    <rPh sb="7" eb="9">
      <t>ジンコウ</t>
    </rPh>
    <rPh sb="9" eb="10">
      <t>タイ</t>
    </rPh>
    <rPh sb="10" eb="12">
      <t>ヒリツ</t>
    </rPh>
    <rPh sb="13" eb="16">
      <t>ユウケンシャ</t>
    </rPh>
    <rPh sb="16" eb="18">
      <t>ソウスウ</t>
    </rPh>
    <rPh sb="19" eb="21">
      <t>カクネン</t>
    </rPh>
    <rPh sb="24" eb="25">
      <t>ガツ</t>
    </rPh>
    <rPh sb="26" eb="27">
      <t>ニチ</t>
    </rPh>
    <rPh sb="27" eb="29">
      <t>ゲンザイ</t>
    </rPh>
    <rPh sb="30" eb="32">
      <t>ジュウミン</t>
    </rPh>
    <rPh sb="32" eb="34">
      <t>キホン</t>
    </rPh>
    <rPh sb="34" eb="36">
      <t>ダイチョウ</t>
    </rPh>
    <rPh sb="39" eb="42">
      <t>ソウジンコウ</t>
    </rPh>
    <rPh sb="43" eb="44">
      <t>ジョ</t>
    </rPh>
    <phoneticPr fontId="5"/>
  </si>
  <si>
    <t>市税の収入状況</t>
    <rPh sb="0" eb="2">
      <t>シゼイ</t>
    </rPh>
    <rPh sb="3" eb="5">
      <t>シュウニュウ</t>
    </rPh>
    <rPh sb="5" eb="7">
      <t>ジョウキョウ</t>
    </rPh>
    <phoneticPr fontId="5"/>
  </si>
  <si>
    <t>税      　　　目</t>
    <rPh sb="0" eb="1">
      <t>ゼイ</t>
    </rPh>
    <rPh sb="10" eb="11">
      <t>メ</t>
    </rPh>
    <phoneticPr fontId="5"/>
  </si>
  <si>
    <t>平  成  25　年  度</t>
    <rPh sb="0" eb="1">
      <t>ヒラ</t>
    </rPh>
    <rPh sb="3" eb="4">
      <t>シゲル</t>
    </rPh>
    <rPh sb="9" eb="10">
      <t>トシ</t>
    </rPh>
    <rPh sb="12" eb="13">
      <t>タビ</t>
    </rPh>
    <phoneticPr fontId="5"/>
  </si>
  <si>
    <t>平  成  26  年  度</t>
    <rPh sb="0" eb="1">
      <t>ヒラ</t>
    </rPh>
    <rPh sb="3" eb="4">
      <t>シゲル</t>
    </rPh>
    <rPh sb="10" eb="11">
      <t>トシ</t>
    </rPh>
    <rPh sb="13" eb="14">
      <t>タビ</t>
    </rPh>
    <phoneticPr fontId="5"/>
  </si>
  <si>
    <t>平  成  27  年  度</t>
    <rPh sb="0" eb="1">
      <t>ヒラ</t>
    </rPh>
    <rPh sb="3" eb="4">
      <t>シゲル</t>
    </rPh>
    <rPh sb="10" eb="11">
      <t>トシ</t>
    </rPh>
    <rPh sb="13" eb="14">
      <t>タビ</t>
    </rPh>
    <phoneticPr fontId="5"/>
  </si>
  <si>
    <t>平  成  28  年  度</t>
    <rPh sb="0" eb="1">
      <t>ヒラ</t>
    </rPh>
    <rPh sb="3" eb="4">
      <t>シゲル</t>
    </rPh>
    <rPh sb="10" eb="11">
      <t>トシ</t>
    </rPh>
    <rPh sb="13" eb="14">
      <t>タビ</t>
    </rPh>
    <phoneticPr fontId="5"/>
  </si>
  <si>
    <t>平  成  29  年  度</t>
  </si>
  <si>
    <t>平  成  30  年  度</t>
  </si>
  <si>
    <t>平 成 31年 度</t>
    <rPh sb="0" eb="1">
      <t>タイラ</t>
    </rPh>
    <rPh sb="2" eb="3">
      <t>シゲル</t>
    </rPh>
    <rPh sb="6" eb="7">
      <t>ネン</t>
    </rPh>
    <rPh sb="8" eb="9">
      <t>ド</t>
    </rPh>
    <phoneticPr fontId="5"/>
  </si>
  <si>
    <t>令 和 2 年 度</t>
    <rPh sb="0" eb="1">
      <t>レイ</t>
    </rPh>
    <rPh sb="2" eb="3">
      <t>カズ</t>
    </rPh>
    <rPh sb="6" eb="7">
      <t>ネン</t>
    </rPh>
    <rPh sb="8" eb="9">
      <t>ド</t>
    </rPh>
    <phoneticPr fontId="5"/>
  </si>
  <si>
    <t>令 和 3 年 度</t>
    <rPh sb="0" eb="1">
      <t>レイ</t>
    </rPh>
    <rPh sb="2" eb="3">
      <t>カズ</t>
    </rPh>
    <rPh sb="6" eb="7">
      <t>ネン</t>
    </rPh>
    <rPh sb="8" eb="9">
      <t>ド</t>
    </rPh>
    <phoneticPr fontId="5"/>
  </si>
  <si>
    <t>令 和 4 年 度</t>
    <rPh sb="0" eb="1">
      <t>レイ</t>
    </rPh>
    <rPh sb="2" eb="3">
      <t>カズ</t>
    </rPh>
    <rPh sb="6" eb="7">
      <t>ネン</t>
    </rPh>
    <rPh sb="8" eb="9">
      <t>ド</t>
    </rPh>
    <phoneticPr fontId="5"/>
  </si>
  <si>
    <t>令 和 5 年 度</t>
    <rPh sb="0" eb="1">
      <t>レイ</t>
    </rPh>
    <rPh sb="2" eb="3">
      <t>カズ</t>
    </rPh>
    <rPh sb="6" eb="7">
      <t>ネン</t>
    </rPh>
    <rPh sb="8" eb="9">
      <t>ド</t>
    </rPh>
    <phoneticPr fontId="5"/>
  </si>
  <si>
    <t>調定額</t>
  </si>
  <si>
    <t>収入額</t>
  </si>
  <si>
    <t>収納率</t>
  </si>
  <si>
    <t>千円</t>
  </si>
  <si>
    <t>総額</t>
    <rPh sb="0" eb="1">
      <t>フサ</t>
    </rPh>
    <rPh sb="1" eb="2">
      <t>ガク</t>
    </rPh>
    <phoneticPr fontId="5"/>
  </si>
  <si>
    <t>（1）</t>
    <phoneticPr fontId="5"/>
  </si>
  <si>
    <t>普通税</t>
  </si>
  <si>
    <t>市民税</t>
    <rPh sb="0" eb="1">
      <t>シ</t>
    </rPh>
    <rPh sb="1" eb="2">
      <t>ミン</t>
    </rPh>
    <rPh sb="2" eb="3">
      <t>ゼイ</t>
    </rPh>
    <phoneticPr fontId="5"/>
  </si>
  <si>
    <t>固定資産税</t>
    <rPh sb="0" eb="1">
      <t>ガタマリ</t>
    </rPh>
    <rPh sb="1" eb="2">
      <t>サダム</t>
    </rPh>
    <rPh sb="2" eb="3">
      <t>シ</t>
    </rPh>
    <rPh sb="3" eb="4">
      <t>サン</t>
    </rPh>
    <rPh sb="4" eb="5">
      <t>ゼイ</t>
    </rPh>
    <phoneticPr fontId="5"/>
  </si>
  <si>
    <t>軽自動車税</t>
    <rPh sb="0" eb="1">
      <t>ケイ</t>
    </rPh>
    <rPh sb="1" eb="2">
      <t>ジ</t>
    </rPh>
    <rPh sb="2" eb="3">
      <t>ドウ</t>
    </rPh>
    <rPh sb="3" eb="4">
      <t>クルマ</t>
    </rPh>
    <rPh sb="4" eb="5">
      <t>ゼイ</t>
    </rPh>
    <phoneticPr fontId="5"/>
  </si>
  <si>
    <t>市たばこ税</t>
    <rPh sb="0" eb="1">
      <t>シ</t>
    </rPh>
    <rPh sb="4" eb="5">
      <t>ゼイ</t>
    </rPh>
    <phoneticPr fontId="5"/>
  </si>
  <si>
    <t>特別土地保有税</t>
    <rPh sb="0" eb="1">
      <t>トク</t>
    </rPh>
    <rPh sb="1" eb="2">
      <t>ベツ</t>
    </rPh>
    <rPh sb="2" eb="3">
      <t>ツチ</t>
    </rPh>
    <rPh sb="3" eb="4">
      <t>チ</t>
    </rPh>
    <rPh sb="4" eb="7">
      <t>ホユウゼイ</t>
    </rPh>
    <phoneticPr fontId="5"/>
  </si>
  <si>
    <t>―</t>
  </si>
  <si>
    <t>（2）</t>
    <phoneticPr fontId="5"/>
  </si>
  <si>
    <t>目的税</t>
    <rPh sb="0" eb="1">
      <t>メ</t>
    </rPh>
    <rPh sb="1" eb="2">
      <t>マト</t>
    </rPh>
    <rPh sb="2" eb="3">
      <t>ゼイ</t>
    </rPh>
    <phoneticPr fontId="5"/>
  </si>
  <si>
    <t>入湯税</t>
    <rPh sb="0" eb="1">
      <t>イ</t>
    </rPh>
    <rPh sb="1" eb="2">
      <t>ユ</t>
    </rPh>
    <rPh sb="2" eb="3">
      <t>ゼイ</t>
    </rPh>
    <phoneticPr fontId="5"/>
  </si>
  <si>
    <t>都市計画税</t>
    <rPh sb="0" eb="1">
      <t>ミヤコ</t>
    </rPh>
    <rPh sb="1" eb="2">
      <t>シ</t>
    </rPh>
    <rPh sb="2" eb="3">
      <t>ケイ</t>
    </rPh>
    <rPh sb="3" eb="4">
      <t>ガ</t>
    </rPh>
    <rPh sb="4" eb="5">
      <t>ゼイ</t>
    </rPh>
    <phoneticPr fontId="5"/>
  </si>
  <si>
    <t>資料：税務課</t>
    <rPh sb="0" eb="2">
      <t>シリョウ</t>
    </rPh>
    <rPh sb="3" eb="5">
      <t>ゼイム</t>
    </rPh>
    <rPh sb="5" eb="6">
      <t>カ</t>
    </rPh>
    <phoneticPr fontId="5"/>
  </si>
  <si>
    <t>市税市民負担額の推移</t>
    <rPh sb="0" eb="2">
      <t>シゼイ</t>
    </rPh>
    <rPh sb="2" eb="4">
      <t>シミン</t>
    </rPh>
    <rPh sb="4" eb="6">
      <t>フタン</t>
    </rPh>
    <rPh sb="6" eb="7">
      <t>ガク</t>
    </rPh>
    <rPh sb="8" eb="10">
      <t>スイイ</t>
    </rPh>
    <phoneticPr fontId="29"/>
  </si>
  <si>
    <t>年　　度</t>
    <rPh sb="0" eb="1">
      <t>トシ</t>
    </rPh>
    <rPh sb="3" eb="4">
      <t>タビ</t>
    </rPh>
    <phoneticPr fontId="29"/>
  </si>
  <si>
    <t>人　　口</t>
    <rPh sb="0" eb="1">
      <t>ヒト</t>
    </rPh>
    <rPh sb="3" eb="4">
      <t>クチ</t>
    </rPh>
    <phoneticPr fontId="29"/>
  </si>
  <si>
    <t>世　　帯</t>
    <rPh sb="0" eb="1">
      <t>ヨ</t>
    </rPh>
    <rPh sb="3" eb="4">
      <t>オビ</t>
    </rPh>
    <phoneticPr fontId="29"/>
  </si>
  <si>
    <t>調　　定　　額</t>
    <rPh sb="0" eb="1">
      <t>チョウ</t>
    </rPh>
    <rPh sb="3" eb="4">
      <t>サダム</t>
    </rPh>
    <rPh sb="6" eb="7">
      <t>ガク</t>
    </rPh>
    <phoneticPr fontId="29"/>
  </si>
  <si>
    <t>市　民　負　担　額</t>
    <rPh sb="0" eb="1">
      <t>シ</t>
    </rPh>
    <rPh sb="2" eb="3">
      <t>タミ</t>
    </rPh>
    <rPh sb="4" eb="5">
      <t>フ</t>
    </rPh>
    <rPh sb="6" eb="7">
      <t>ニナ</t>
    </rPh>
    <rPh sb="8" eb="9">
      <t>ガク</t>
    </rPh>
    <phoneticPr fontId="29"/>
  </si>
  <si>
    <t>（現　年　度）</t>
    <rPh sb="1" eb="2">
      <t>ゲン</t>
    </rPh>
    <rPh sb="3" eb="4">
      <t>トシ</t>
    </rPh>
    <rPh sb="5" eb="6">
      <t>タビ</t>
    </rPh>
    <phoneticPr fontId="29"/>
  </si>
  <si>
    <t>1 人 当 た り</t>
    <rPh sb="2" eb="3">
      <t>ニン</t>
    </rPh>
    <rPh sb="4" eb="5">
      <t>ア</t>
    </rPh>
    <phoneticPr fontId="29"/>
  </si>
  <si>
    <t>1 世 帯 当 た り</t>
    <rPh sb="2" eb="3">
      <t>ヨ</t>
    </rPh>
    <rPh sb="4" eb="5">
      <t>オビ</t>
    </rPh>
    <rPh sb="6" eb="7">
      <t>ア</t>
    </rPh>
    <phoneticPr fontId="29"/>
  </si>
  <si>
    <t>人</t>
    <rPh sb="0" eb="1">
      <t>ヒト</t>
    </rPh>
    <phoneticPr fontId="29"/>
  </si>
  <si>
    <t>世帯</t>
    <rPh sb="0" eb="2">
      <t>セタイ</t>
    </rPh>
    <phoneticPr fontId="29"/>
  </si>
  <si>
    <t>千円</t>
    <rPh sb="0" eb="2">
      <t>センエン</t>
    </rPh>
    <phoneticPr fontId="29"/>
  </si>
  <si>
    <t>円</t>
    <rPh sb="0" eb="1">
      <t>エン</t>
    </rPh>
    <phoneticPr fontId="29"/>
  </si>
  <si>
    <t>平成22年度</t>
    <rPh sb="0" eb="2">
      <t>ヘイセイ</t>
    </rPh>
    <rPh sb="4" eb="6">
      <t>ネンド</t>
    </rPh>
    <phoneticPr fontId="29"/>
  </si>
  <si>
    <t>令和2年度</t>
    <rPh sb="0" eb="2">
      <t>レイワ</t>
    </rPh>
    <rPh sb="3" eb="4">
      <t>ネン</t>
    </rPh>
    <rPh sb="4" eb="5">
      <t>ド</t>
    </rPh>
    <phoneticPr fontId="29"/>
  </si>
  <si>
    <t>資料：税務課</t>
    <rPh sb="0" eb="2">
      <t>シリョウ</t>
    </rPh>
    <rPh sb="3" eb="5">
      <t>ゼイム</t>
    </rPh>
    <rPh sb="5" eb="6">
      <t>カ</t>
    </rPh>
    <phoneticPr fontId="29"/>
  </si>
  <si>
    <t>注）1.人口、世帯は各年10月1日現在。</t>
    <rPh sb="0" eb="1">
      <t>チュウ</t>
    </rPh>
    <rPh sb="4" eb="6">
      <t>ジンコウ</t>
    </rPh>
    <rPh sb="7" eb="9">
      <t>セタイ</t>
    </rPh>
    <rPh sb="10" eb="12">
      <t>カクネン</t>
    </rPh>
    <rPh sb="14" eb="15">
      <t>ガツ</t>
    </rPh>
    <rPh sb="16" eb="17">
      <t>ニチ</t>
    </rPh>
    <rPh sb="17" eb="19">
      <t>ゲンザイ</t>
    </rPh>
    <phoneticPr fontId="29"/>
  </si>
  <si>
    <t>幼稚園の状況</t>
    <rPh sb="0" eb="2">
      <t>ヨウチ</t>
    </rPh>
    <rPh sb="2" eb="3">
      <t>エン</t>
    </rPh>
    <rPh sb="4" eb="6">
      <t>ジョウキョウ</t>
    </rPh>
    <phoneticPr fontId="5"/>
  </si>
  <si>
    <t>各年5月1日現在</t>
    <rPh sb="0" eb="2">
      <t>カクトシ</t>
    </rPh>
    <rPh sb="2" eb="4">
      <t>５ガツ</t>
    </rPh>
    <rPh sb="4" eb="6">
      <t>１ニチ</t>
    </rPh>
    <rPh sb="6" eb="8">
      <t>ゲンザイ</t>
    </rPh>
    <phoneticPr fontId="5"/>
  </si>
  <si>
    <t>年　　次</t>
    <rPh sb="0" eb="4">
      <t>ネンジ</t>
    </rPh>
    <phoneticPr fontId="5"/>
  </si>
  <si>
    <t>園　　数</t>
    <rPh sb="0" eb="1">
      <t>エン</t>
    </rPh>
    <rPh sb="3" eb="4">
      <t>スウ</t>
    </rPh>
    <phoneticPr fontId="5"/>
  </si>
  <si>
    <t>学級数</t>
    <rPh sb="0" eb="2">
      <t>ガッキュウ</t>
    </rPh>
    <rPh sb="2" eb="3">
      <t>スウ</t>
    </rPh>
    <phoneticPr fontId="5"/>
  </si>
  <si>
    <t>在園者数</t>
    <rPh sb="0" eb="2">
      <t>ザイエン</t>
    </rPh>
    <rPh sb="2" eb="3">
      <t>シャ</t>
    </rPh>
    <rPh sb="3" eb="4">
      <t>スウ</t>
    </rPh>
    <phoneticPr fontId="5"/>
  </si>
  <si>
    <t>教員数</t>
    <rPh sb="0" eb="2">
      <t>キョウイン</t>
    </rPh>
    <rPh sb="2" eb="3">
      <t>スウ</t>
    </rPh>
    <phoneticPr fontId="5"/>
  </si>
  <si>
    <t>年齢別在園者数</t>
    <rPh sb="0" eb="2">
      <t>ネンレイ</t>
    </rPh>
    <rPh sb="2" eb="3">
      <t>ベツ</t>
    </rPh>
    <rPh sb="3" eb="5">
      <t>ザイエン</t>
    </rPh>
    <rPh sb="5" eb="6">
      <t>シャ</t>
    </rPh>
    <rPh sb="6" eb="7">
      <t>スウ</t>
    </rPh>
    <phoneticPr fontId="5"/>
  </si>
  <si>
    <t>総　　数</t>
    <rPh sb="0" eb="4">
      <t>ソウスウ</t>
    </rPh>
    <phoneticPr fontId="5"/>
  </si>
  <si>
    <t>1学級
当たり
園児数</t>
    <rPh sb="1" eb="3">
      <t>ガッキュウ</t>
    </rPh>
    <phoneticPr fontId="5"/>
  </si>
  <si>
    <t>実　　数</t>
    <rPh sb="0" eb="4">
      <t>ジッスウ</t>
    </rPh>
    <phoneticPr fontId="5"/>
  </si>
  <si>
    <t>教員1人
当たりの
園児数</t>
    <rPh sb="0" eb="2">
      <t>キョウイン</t>
    </rPh>
    <rPh sb="3" eb="4">
      <t>ヒト</t>
    </rPh>
    <phoneticPr fontId="5"/>
  </si>
  <si>
    <t>3　歳</t>
    <rPh sb="0" eb="3">
      <t>３サイ</t>
    </rPh>
    <phoneticPr fontId="5"/>
  </si>
  <si>
    <t>4　歳</t>
    <rPh sb="0" eb="3">
      <t>４サイ</t>
    </rPh>
    <phoneticPr fontId="5"/>
  </si>
  <si>
    <t>5　歳</t>
    <rPh sb="0" eb="3">
      <t>５サイ</t>
    </rPh>
    <phoneticPr fontId="5"/>
  </si>
  <si>
    <t>級</t>
    <rPh sb="0" eb="1">
      <t>キュウ</t>
    </rPh>
    <phoneticPr fontId="5"/>
  </si>
  <si>
    <t>※教員数…幼稚園：職名別教員数（本務者）、幼保：職名別教育・保育職員数（本務者）の合計</t>
    <rPh sb="1" eb="3">
      <t>キョウイン</t>
    </rPh>
    <rPh sb="3" eb="4">
      <t>スウ</t>
    </rPh>
    <rPh sb="5" eb="8">
      <t>ヨウチエン</t>
    </rPh>
    <rPh sb="9" eb="15">
      <t>ショクメイベツキョウインスウ</t>
    </rPh>
    <rPh sb="16" eb="18">
      <t>ホンム</t>
    </rPh>
    <rPh sb="18" eb="19">
      <t>シャ</t>
    </rPh>
    <rPh sb="21" eb="23">
      <t>ヨウホ</t>
    </rPh>
    <rPh sb="24" eb="27">
      <t>ショクメイベツ</t>
    </rPh>
    <rPh sb="27" eb="29">
      <t>キョウイク</t>
    </rPh>
    <rPh sb="30" eb="32">
      <t>ホイク</t>
    </rPh>
    <rPh sb="32" eb="35">
      <t>ショクインスウ</t>
    </rPh>
    <rPh sb="36" eb="38">
      <t>ホンム</t>
    </rPh>
    <rPh sb="38" eb="39">
      <t>シャ</t>
    </rPh>
    <rPh sb="41" eb="43">
      <t>ゴウケイ</t>
    </rPh>
    <phoneticPr fontId="5"/>
  </si>
  <si>
    <t>資料 ： 学校基本調査（幼稚園・幼保連携型認定こども園の合計）</t>
    <rPh sb="0" eb="2">
      <t>シリョウ</t>
    </rPh>
    <rPh sb="5" eb="11">
      <t>ガッコウキホンチョウサ</t>
    </rPh>
    <rPh sb="12" eb="15">
      <t>ヨウチエン</t>
    </rPh>
    <rPh sb="16" eb="23">
      <t>ヨウホレンケイガタニンテイ</t>
    </rPh>
    <rPh sb="26" eb="27">
      <t>エン</t>
    </rPh>
    <rPh sb="28" eb="30">
      <t>ゴウケイ</t>
    </rPh>
    <phoneticPr fontId="5"/>
  </si>
  <si>
    <t>小学校の状況</t>
    <rPh sb="0" eb="1">
      <t>ショウ</t>
    </rPh>
    <rPh sb="1" eb="2">
      <t>ガク</t>
    </rPh>
    <rPh sb="2" eb="3">
      <t>コウ</t>
    </rPh>
    <rPh sb="4" eb="6">
      <t>ジョウキョウ</t>
    </rPh>
    <phoneticPr fontId="5"/>
  </si>
  <si>
    <t>年次</t>
    <rPh sb="0" eb="1">
      <t>トシ</t>
    </rPh>
    <rPh sb="1" eb="2">
      <t>ツギ</t>
    </rPh>
    <phoneticPr fontId="5"/>
  </si>
  <si>
    <t>学校数</t>
    <rPh sb="0" eb="2">
      <t>ガッコウ</t>
    </rPh>
    <rPh sb="2" eb="3">
      <t>スウ</t>
    </rPh>
    <phoneticPr fontId="5"/>
  </si>
  <si>
    <t>児童数</t>
    <rPh sb="0" eb="2">
      <t>ジドウ</t>
    </rPh>
    <rPh sb="2" eb="3">
      <t>スウ</t>
    </rPh>
    <phoneticPr fontId="5"/>
  </si>
  <si>
    <t>教員数</t>
    <rPh sb="0" eb="3">
      <t>キョウインスウ</t>
    </rPh>
    <phoneticPr fontId="5"/>
  </si>
  <si>
    <t>学年別児童数</t>
    <rPh sb="0" eb="1">
      <t>ガク</t>
    </rPh>
    <rPh sb="3" eb="5">
      <t>ジドウ</t>
    </rPh>
    <rPh sb="5" eb="6">
      <t>スウ</t>
    </rPh>
    <phoneticPr fontId="5"/>
  </si>
  <si>
    <t>総　数</t>
    <rPh sb="0" eb="3">
      <t>ソウスウ</t>
    </rPh>
    <phoneticPr fontId="5"/>
  </si>
  <si>
    <t>実　数</t>
    <rPh sb="0" eb="3">
      <t>ジッスウ</t>
    </rPh>
    <phoneticPr fontId="5"/>
  </si>
  <si>
    <t>1学年</t>
    <rPh sb="1" eb="3">
      <t>ガクネン</t>
    </rPh>
    <phoneticPr fontId="5"/>
  </si>
  <si>
    <t>2学年</t>
    <rPh sb="1" eb="3">
      <t>ガクネン</t>
    </rPh>
    <phoneticPr fontId="5"/>
  </si>
  <si>
    <t>3学年</t>
  </si>
  <si>
    <t>4学年</t>
  </si>
  <si>
    <t>5学年</t>
  </si>
  <si>
    <t>6学年</t>
  </si>
  <si>
    <t>校</t>
    <rPh sb="0" eb="1">
      <t>コウ</t>
    </rPh>
    <phoneticPr fontId="5"/>
  </si>
  <si>
    <t>資料：学校基本調査</t>
    <rPh sb="0" eb="2">
      <t>シリョウ</t>
    </rPh>
    <rPh sb="3" eb="5">
      <t>ガッコウ</t>
    </rPh>
    <rPh sb="5" eb="7">
      <t>キホン</t>
    </rPh>
    <rPh sb="7" eb="9">
      <t>チョウサ</t>
    </rPh>
    <phoneticPr fontId="5"/>
  </si>
  <si>
    <t>中学校の状況</t>
    <rPh sb="0" eb="2">
      <t>チュウガク</t>
    </rPh>
    <rPh sb="2" eb="3">
      <t>コウ</t>
    </rPh>
    <rPh sb="4" eb="6">
      <t>ジョウキョウ</t>
    </rPh>
    <phoneticPr fontId="5"/>
  </si>
  <si>
    <t>年次</t>
    <rPh sb="0" eb="2">
      <t>ネンジ</t>
    </rPh>
    <phoneticPr fontId="5"/>
  </si>
  <si>
    <t>生徒数</t>
    <rPh sb="0" eb="3">
      <t>セイトスウ</t>
    </rPh>
    <phoneticPr fontId="5"/>
  </si>
  <si>
    <t>教員数</t>
    <rPh sb="0" eb="2">
      <t>キョウイン</t>
    </rPh>
    <rPh sb="2" eb="3">
      <t>カズ</t>
    </rPh>
    <phoneticPr fontId="5"/>
  </si>
  <si>
    <t>学年別生徒数</t>
    <rPh sb="0" eb="3">
      <t>ガクネンベツ</t>
    </rPh>
    <rPh sb="3" eb="6">
      <t>セイトスウ</t>
    </rPh>
    <phoneticPr fontId="5"/>
  </si>
  <si>
    <t>3月
卒業
者数</t>
    <rPh sb="1" eb="2">
      <t>ガツ</t>
    </rPh>
    <rPh sb="3" eb="4">
      <t>ソツ</t>
    </rPh>
    <rPh sb="4" eb="5">
      <t>ギョウ</t>
    </rPh>
    <rPh sb="6" eb="7">
      <t>モノ</t>
    </rPh>
    <rPh sb="7" eb="8">
      <t>スウ</t>
    </rPh>
    <phoneticPr fontId="5"/>
  </si>
  <si>
    <t>総数</t>
    <phoneticPr fontId="5"/>
  </si>
  <si>
    <t>男</t>
    <phoneticPr fontId="5"/>
  </si>
  <si>
    <t>女</t>
    <phoneticPr fontId="5"/>
  </si>
  <si>
    <t>1学級
当たり
の
生徒数</t>
    <rPh sb="1" eb="3">
      <t>ガッキュウ</t>
    </rPh>
    <rPh sb="4" eb="5">
      <t>ア</t>
    </rPh>
    <phoneticPr fontId="5"/>
  </si>
  <si>
    <t>実数</t>
    <phoneticPr fontId="5"/>
  </si>
  <si>
    <t>教員1人
当たり
の
生徒数</t>
    <rPh sb="0" eb="2">
      <t>キョウイン</t>
    </rPh>
    <rPh sb="3" eb="4">
      <t>ヒト</t>
    </rPh>
    <phoneticPr fontId="5"/>
  </si>
  <si>
    <t>1学年</t>
    <phoneticPr fontId="5"/>
  </si>
  <si>
    <t>2学年</t>
    <phoneticPr fontId="5"/>
  </si>
  <si>
    <t>3学年</t>
    <phoneticPr fontId="5"/>
  </si>
  <si>
    <t>資料：学校基本調査</t>
    <rPh sb="0" eb="2">
      <t>シリョウ</t>
    </rPh>
    <rPh sb="3" eb="9">
      <t>ガッコウキホンチョウサ</t>
    </rPh>
    <phoneticPr fontId="5"/>
  </si>
  <si>
    <t>義務教育学校の状況</t>
    <rPh sb="0" eb="2">
      <t>ギム</t>
    </rPh>
    <rPh sb="2" eb="4">
      <t>キョウイク</t>
    </rPh>
    <rPh sb="4" eb="6">
      <t>ガッコウ</t>
    </rPh>
    <rPh sb="5" eb="6">
      <t>コウ</t>
    </rPh>
    <rPh sb="7" eb="9">
      <t>ジョウキョウ</t>
    </rPh>
    <phoneticPr fontId="5"/>
  </si>
  <si>
    <t>7学年</t>
  </si>
  <si>
    <t>8学年</t>
  </si>
  <si>
    <t>9学年</t>
  </si>
  <si>
    <t>中学校進路別卒業者数</t>
    <phoneticPr fontId="5"/>
  </si>
  <si>
    <t>各年5月1日現在</t>
    <phoneticPr fontId="5"/>
  </si>
  <si>
    <t>年次</t>
    <rPh sb="0" eb="1">
      <t>トシ</t>
    </rPh>
    <rPh sb="1" eb="2">
      <t>ツギ</t>
    </rPh>
    <phoneticPr fontId="32"/>
  </si>
  <si>
    <t>卒業者総数</t>
    <rPh sb="0" eb="3">
      <t>ソツギョウシャ</t>
    </rPh>
    <rPh sb="2" eb="3">
      <t>シャ</t>
    </rPh>
    <rPh sb="3" eb="5">
      <t>ソウスウ</t>
    </rPh>
    <phoneticPr fontId="32"/>
  </si>
  <si>
    <t>A進学者
（就職進学を含む）</t>
    <rPh sb="1" eb="2">
      <t>ススム</t>
    </rPh>
    <rPh sb="2" eb="3">
      <t>ガク</t>
    </rPh>
    <rPh sb="3" eb="4">
      <t>モノ</t>
    </rPh>
    <phoneticPr fontId="32"/>
  </si>
  <si>
    <r>
      <t xml:space="preserve">B教育訓練機関等入学者
</t>
    </r>
    <r>
      <rPr>
        <sz val="6"/>
        <rFont val="ＭＳ ゴシック"/>
        <family val="3"/>
        <charset val="128"/>
      </rPr>
      <t>（就職して入学した者を含む）</t>
    </r>
    <rPh sb="1" eb="3">
      <t>キョウイク</t>
    </rPh>
    <rPh sb="3" eb="5">
      <t>クンレン</t>
    </rPh>
    <rPh sb="5" eb="7">
      <t>キカン</t>
    </rPh>
    <rPh sb="7" eb="8">
      <t>トウ</t>
    </rPh>
    <rPh sb="8" eb="10">
      <t>ニュウガク</t>
    </rPh>
    <rPh sb="10" eb="11">
      <t>モノ</t>
    </rPh>
    <rPh sb="13" eb="15">
      <t>シュウショク</t>
    </rPh>
    <rPh sb="17" eb="19">
      <t>ニュウガク</t>
    </rPh>
    <rPh sb="21" eb="22">
      <t>モノ</t>
    </rPh>
    <rPh sb="23" eb="24">
      <t>フク</t>
    </rPh>
    <phoneticPr fontId="32"/>
  </si>
  <si>
    <r>
      <t xml:space="preserve">就職者
</t>
    </r>
    <r>
      <rPr>
        <sz val="8"/>
        <rFont val="ＭＳ ゴシック"/>
        <family val="3"/>
        <charset val="128"/>
      </rPr>
      <t>(左記A･Bを除く)</t>
    </r>
    <rPh sb="0" eb="1">
      <t>ジュ</t>
    </rPh>
    <rPh sb="1" eb="2">
      <t>ショク</t>
    </rPh>
    <rPh sb="2" eb="3">
      <t>シャ</t>
    </rPh>
    <rPh sb="5" eb="6">
      <t>ヒダリ</t>
    </rPh>
    <rPh sb="6" eb="7">
      <t>キ</t>
    </rPh>
    <rPh sb="11" eb="12">
      <t>ノゾ</t>
    </rPh>
    <phoneticPr fontId="32"/>
  </si>
  <si>
    <t>左記以外の者</t>
    <rPh sb="0" eb="2">
      <t>サキ</t>
    </rPh>
    <rPh sb="2" eb="4">
      <t>イガイ</t>
    </rPh>
    <rPh sb="5" eb="6">
      <t>モノ</t>
    </rPh>
    <phoneticPr fontId="32"/>
  </si>
  <si>
    <t>死亡・不詳</t>
    <rPh sb="0" eb="2">
      <t>シボウ</t>
    </rPh>
    <rPh sb="3" eb="5">
      <t>フショウ</t>
    </rPh>
    <phoneticPr fontId="32"/>
  </si>
  <si>
    <t>左記Aのうち他県への
進学者（再掲）</t>
    <rPh sb="0" eb="2">
      <t>サキ</t>
    </rPh>
    <rPh sb="6" eb="8">
      <t>タケン</t>
    </rPh>
    <rPh sb="11" eb="14">
      <t>シンガクシャ</t>
    </rPh>
    <rPh sb="15" eb="17">
      <t>サイケイ</t>
    </rPh>
    <phoneticPr fontId="32"/>
  </si>
  <si>
    <t>左記A及びBのうち就職している者
（再掲）</t>
    <rPh sb="0" eb="2">
      <t>サキ</t>
    </rPh>
    <rPh sb="3" eb="4">
      <t>オヨ</t>
    </rPh>
    <phoneticPr fontId="32"/>
  </si>
  <si>
    <t>卒業者のうち入学
を志願した者</t>
    <rPh sb="0" eb="3">
      <t>ソツギョウシャ</t>
    </rPh>
    <rPh sb="6" eb="7">
      <t>ニュウ</t>
    </rPh>
    <phoneticPr fontId="32"/>
  </si>
  <si>
    <t>進学率</t>
    <rPh sb="0" eb="2">
      <t>シンガク</t>
    </rPh>
    <rPh sb="2" eb="3">
      <t>リツ</t>
    </rPh>
    <phoneticPr fontId="32"/>
  </si>
  <si>
    <t>就職率</t>
    <rPh sb="0" eb="2">
      <t>シュウショク</t>
    </rPh>
    <rPh sb="2" eb="3">
      <t>リツ</t>
    </rPh>
    <phoneticPr fontId="32"/>
  </si>
  <si>
    <t>計</t>
    <rPh sb="0" eb="1">
      <t>ケイ</t>
    </rPh>
    <phoneticPr fontId="32"/>
  </si>
  <si>
    <t>全日</t>
    <rPh sb="0" eb="1">
      <t>ゼン</t>
    </rPh>
    <rPh sb="1" eb="2">
      <t>ニチ</t>
    </rPh>
    <phoneticPr fontId="32"/>
  </si>
  <si>
    <t>定時</t>
    <rPh sb="0" eb="2">
      <t>テイジ</t>
    </rPh>
    <phoneticPr fontId="32"/>
  </si>
  <si>
    <t>通信</t>
    <rPh sb="0" eb="2">
      <t>ツウシン</t>
    </rPh>
    <phoneticPr fontId="32"/>
  </si>
  <si>
    <t>高専</t>
    <rPh sb="0" eb="2">
      <t>コウセン</t>
    </rPh>
    <phoneticPr fontId="32"/>
  </si>
  <si>
    <t>特別支援学校
高等部（本科）　</t>
    <rPh sb="0" eb="2">
      <t>トクベツ</t>
    </rPh>
    <rPh sb="2" eb="4">
      <t>シエン</t>
    </rPh>
    <rPh sb="4" eb="6">
      <t>ガッコウ</t>
    </rPh>
    <rPh sb="7" eb="10">
      <t>コウトウブ</t>
    </rPh>
    <rPh sb="11" eb="13">
      <t>ホンカ</t>
    </rPh>
    <phoneticPr fontId="32"/>
  </si>
  <si>
    <t>左記Aのうち</t>
    <rPh sb="0" eb="2">
      <t>サキ</t>
    </rPh>
    <phoneticPr fontId="32"/>
  </si>
  <si>
    <t>左記Bのうち</t>
    <rPh sb="0" eb="2">
      <t>サキ</t>
    </rPh>
    <phoneticPr fontId="32"/>
  </si>
  <si>
    <t>高校</t>
    <rPh sb="0" eb="2">
      <t>コウコウ</t>
    </rPh>
    <phoneticPr fontId="32"/>
  </si>
  <si>
    <t>中等教育学校
後期過程(本科）</t>
    <rPh sb="0" eb="2">
      <t>チュウトウ</t>
    </rPh>
    <rPh sb="2" eb="4">
      <t>キョウイク</t>
    </rPh>
    <rPh sb="4" eb="6">
      <t>ガッコウ</t>
    </rPh>
    <rPh sb="7" eb="9">
      <t>コウキ</t>
    </rPh>
    <rPh sb="9" eb="11">
      <t>カテイ</t>
    </rPh>
    <rPh sb="12" eb="14">
      <t>ホンカ</t>
    </rPh>
    <phoneticPr fontId="32"/>
  </si>
  <si>
    <t>特別支援学校　
高等部（本科）　</t>
    <rPh sb="0" eb="2">
      <t>トクベツ</t>
    </rPh>
    <rPh sb="2" eb="4">
      <t>シエン</t>
    </rPh>
    <rPh sb="4" eb="6">
      <t>ガッコウ</t>
    </rPh>
    <rPh sb="8" eb="11">
      <t>コウトウブ</t>
    </rPh>
    <rPh sb="12" eb="14">
      <t>ホンカ</t>
    </rPh>
    <phoneticPr fontId="32"/>
  </si>
  <si>
    <t>人</t>
    <rPh sb="0" eb="1">
      <t>ヒト</t>
    </rPh>
    <phoneticPr fontId="32"/>
  </si>
  <si>
    <t>%</t>
  </si>
  <si>
    <t>平成16年3月</t>
    <rPh sb="0" eb="2">
      <t>ヘイセイ</t>
    </rPh>
    <rPh sb="4" eb="5">
      <t>ネン</t>
    </rPh>
    <rPh sb="5" eb="7">
      <t>３ガツ</t>
    </rPh>
    <phoneticPr fontId="5"/>
  </si>
  <si>
    <t>平成17年3月</t>
    <rPh sb="0" eb="2">
      <t>ヘイセイ</t>
    </rPh>
    <rPh sb="4" eb="5">
      <t>ネン</t>
    </rPh>
    <rPh sb="5" eb="7">
      <t>３ガツ</t>
    </rPh>
    <phoneticPr fontId="5"/>
  </si>
  <si>
    <t>平成18年3月</t>
    <rPh sb="0" eb="2">
      <t>ヘイセイ</t>
    </rPh>
    <rPh sb="4" eb="5">
      <t>ネン</t>
    </rPh>
    <rPh sb="5" eb="7">
      <t>３ガツ</t>
    </rPh>
    <phoneticPr fontId="5"/>
  </si>
  <si>
    <t>平成19年3月</t>
    <rPh sb="0" eb="2">
      <t>ヘイセイ</t>
    </rPh>
    <rPh sb="4" eb="5">
      <t>ネン</t>
    </rPh>
    <rPh sb="5" eb="7">
      <t>３ガツ</t>
    </rPh>
    <phoneticPr fontId="32"/>
  </si>
  <si>
    <t>男</t>
    <rPh sb="0" eb="1">
      <t>オトコ</t>
    </rPh>
    <phoneticPr fontId="32"/>
  </si>
  <si>
    <t>女</t>
    <rPh sb="0" eb="1">
      <t>オンナ</t>
    </rPh>
    <phoneticPr fontId="32"/>
  </si>
  <si>
    <t>平成20年3月</t>
    <rPh sb="0" eb="2">
      <t>ヘイセイ</t>
    </rPh>
    <rPh sb="4" eb="5">
      <t>ネン</t>
    </rPh>
    <rPh sb="5" eb="7">
      <t>３ガツ</t>
    </rPh>
    <phoneticPr fontId="32"/>
  </si>
  <si>
    <t>平成21年3月</t>
    <rPh sb="0" eb="2">
      <t>ヘイセイ</t>
    </rPh>
    <rPh sb="4" eb="5">
      <t>ネン</t>
    </rPh>
    <rPh sb="5" eb="7">
      <t>３ガツ</t>
    </rPh>
    <phoneticPr fontId="32"/>
  </si>
  <si>
    <t>平成22年3月</t>
    <rPh sb="0" eb="2">
      <t>ヘイセイ</t>
    </rPh>
    <rPh sb="4" eb="5">
      <t>ネン</t>
    </rPh>
    <rPh sb="5" eb="7">
      <t>３ガツ</t>
    </rPh>
    <phoneticPr fontId="32"/>
  </si>
  <si>
    <t>平成23年3月</t>
    <rPh sb="0" eb="2">
      <t>ヘイセイ</t>
    </rPh>
    <rPh sb="4" eb="5">
      <t>ネン</t>
    </rPh>
    <rPh sb="5" eb="7">
      <t>３ガツ</t>
    </rPh>
    <phoneticPr fontId="32"/>
  </si>
  <si>
    <t>平成24年3月</t>
    <rPh sb="0" eb="2">
      <t>ヘイセイ</t>
    </rPh>
    <rPh sb="4" eb="5">
      <t>ネン</t>
    </rPh>
    <rPh sb="5" eb="7">
      <t>３ガツ</t>
    </rPh>
    <phoneticPr fontId="32"/>
  </si>
  <si>
    <t>平成25年3月</t>
    <rPh sb="0" eb="2">
      <t>ヘイセイ</t>
    </rPh>
    <rPh sb="4" eb="5">
      <t>ネン</t>
    </rPh>
    <rPh sb="5" eb="7">
      <t>３ガツ</t>
    </rPh>
    <phoneticPr fontId="32"/>
  </si>
  <si>
    <t>平成26年3月</t>
    <rPh sb="0" eb="2">
      <t>ヘイセイ</t>
    </rPh>
    <rPh sb="4" eb="5">
      <t>ネン</t>
    </rPh>
    <rPh sb="5" eb="7">
      <t>３ガツ</t>
    </rPh>
    <phoneticPr fontId="32"/>
  </si>
  <si>
    <t>平成27年3月</t>
    <rPh sb="0" eb="2">
      <t>ヘイセイ</t>
    </rPh>
    <rPh sb="4" eb="5">
      <t>ネン</t>
    </rPh>
    <rPh sb="5" eb="7">
      <t>３ガツ</t>
    </rPh>
    <phoneticPr fontId="32"/>
  </si>
  <si>
    <t>平成28年3月</t>
    <rPh sb="0" eb="2">
      <t>ヘイセイ</t>
    </rPh>
    <rPh sb="4" eb="5">
      <t>ネン</t>
    </rPh>
    <rPh sb="5" eb="7">
      <t>３ガツ</t>
    </rPh>
    <phoneticPr fontId="32"/>
  </si>
  <si>
    <t>平成29年3月</t>
    <rPh sb="0" eb="2">
      <t>ヘイセイ</t>
    </rPh>
    <rPh sb="4" eb="5">
      <t>ネン</t>
    </rPh>
    <rPh sb="5" eb="7">
      <t>３ガツ</t>
    </rPh>
    <phoneticPr fontId="32"/>
  </si>
  <si>
    <t>平成30年3月</t>
    <rPh sb="0" eb="2">
      <t>ヘイセイ</t>
    </rPh>
    <rPh sb="4" eb="5">
      <t>ネン</t>
    </rPh>
    <rPh sb="5" eb="7">
      <t>３ガツ</t>
    </rPh>
    <phoneticPr fontId="32"/>
  </si>
  <si>
    <t>平成31年3月</t>
    <rPh sb="0" eb="2">
      <t>ヘイセイ</t>
    </rPh>
    <rPh sb="4" eb="5">
      <t>ネン</t>
    </rPh>
    <rPh sb="5" eb="7">
      <t>３ガツ</t>
    </rPh>
    <phoneticPr fontId="32"/>
  </si>
  <si>
    <t>令和2年3月</t>
    <rPh sb="0" eb="1">
      <t>レイ</t>
    </rPh>
    <rPh sb="1" eb="2">
      <t>カズ</t>
    </rPh>
    <rPh sb="3" eb="4">
      <t>ネン</t>
    </rPh>
    <rPh sb="4" eb="6">
      <t>３ガツ</t>
    </rPh>
    <phoneticPr fontId="32"/>
  </si>
  <si>
    <t>令和3年3月</t>
    <rPh sb="0" eb="1">
      <t>レイ</t>
    </rPh>
    <rPh sb="1" eb="2">
      <t>カズ</t>
    </rPh>
    <rPh sb="3" eb="4">
      <t>ネン</t>
    </rPh>
    <rPh sb="4" eb="6">
      <t>３ガツ</t>
    </rPh>
    <phoneticPr fontId="32"/>
  </si>
  <si>
    <t>令和4年3月</t>
    <rPh sb="0" eb="1">
      <t>レイ</t>
    </rPh>
    <rPh sb="1" eb="2">
      <t>カズ</t>
    </rPh>
    <rPh sb="3" eb="4">
      <t>ネン</t>
    </rPh>
    <rPh sb="4" eb="6">
      <t>３ガツ</t>
    </rPh>
    <phoneticPr fontId="32"/>
  </si>
  <si>
    <t>令和5年3月</t>
    <rPh sb="0" eb="1">
      <t>レイ</t>
    </rPh>
    <rPh sb="1" eb="2">
      <t>カズ</t>
    </rPh>
    <rPh sb="3" eb="4">
      <t>ネン</t>
    </rPh>
    <rPh sb="4" eb="6">
      <t>３ガツ</t>
    </rPh>
    <phoneticPr fontId="32"/>
  </si>
  <si>
    <t>資料 ： 学校基本調査</t>
    <phoneticPr fontId="5"/>
  </si>
  <si>
    <t>高等学校進路別卒業者数</t>
    <rPh sb="0" eb="2">
      <t>コウトウ</t>
    </rPh>
    <rPh sb="2" eb="3">
      <t>ガク</t>
    </rPh>
    <rPh sb="3" eb="4">
      <t>コウ</t>
    </rPh>
    <rPh sb="4" eb="5">
      <t>ススム</t>
    </rPh>
    <rPh sb="5" eb="6">
      <t>ミチ</t>
    </rPh>
    <rPh sb="6" eb="7">
      <t>ベツ</t>
    </rPh>
    <rPh sb="7" eb="10">
      <t>ソツギョウシャ</t>
    </rPh>
    <rPh sb="10" eb="11">
      <t>スウ</t>
    </rPh>
    <phoneticPr fontId="5"/>
  </si>
  <si>
    <t>卒業者総数</t>
    <rPh sb="0" eb="3">
      <t>ソツギョウシャ</t>
    </rPh>
    <rPh sb="3" eb="5">
      <t>ソウスウ</t>
    </rPh>
    <phoneticPr fontId="5"/>
  </si>
  <si>
    <t>A進学者
（就職進学を含む）</t>
    <rPh sb="1" eb="4">
      <t>シンガクシャ</t>
    </rPh>
    <phoneticPr fontId="5"/>
  </si>
  <si>
    <r>
      <t>B教育訓練機関等入学者</t>
    </r>
    <r>
      <rPr>
        <sz val="6"/>
        <rFont val="ＭＳ ゴシック"/>
        <family val="3"/>
        <charset val="128"/>
      </rPr>
      <t>（就職して入学した者を含む）</t>
    </r>
    <rPh sb="20" eb="21">
      <t>モノ</t>
    </rPh>
    <rPh sb="22" eb="23">
      <t>フク</t>
    </rPh>
    <phoneticPr fontId="5"/>
  </si>
  <si>
    <t>就職者
（左記A及びBを除く）</t>
    <rPh sb="5" eb="7">
      <t>サキ</t>
    </rPh>
    <rPh sb="8" eb="9">
      <t>オヨ</t>
    </rPh>
    <rPh sb="12" eb="13">
      <t>ノゾ</t>
    </rPh>
    <phoneticPr fontId="5"/>
  </si>
  <si>
    <t>無業者</t>
    <rPh sb="0" eb="1">
      <t>ム</t>
    </rPh>
    <rPh sb="1" eb="3">
      <t>ギョウシャ</t>
    </rPh>
    <phoneticPr fontId="5"/>
  </si>
  <si>
    <t>死亡・不詳</t>
    <rPh sb="0" eb="2">
      <t>シボウ</t>
    </rPh>
    <rPh sb="3" eb="5">
      <t>フショウ</t>
    </rPh>
    <phoneticPr fontId="5"/>
  </si>
  <si>
    <t>左記Aのうち他県への
進学者　（再掲）</t>
    <rPh sb="11" eb="14">
      <t>シンガクシャ</t>
    </rPh>
    <rPh sb="16" eb="18">
      <t>サイケイ</t>
    </rPh>
    <phoneticPr fontId="5"/>
  </si>
  <si>
    <t>左記A及びBのうち就職している者（再掲）</t>
    <rPh sb="0" eb="2">
      <t>サキ</t>
    </rPh>
    <rPh sb="3" eb="4">
      <t>オヨ</t>
    </rPh>
    <phoneticPr fontId="5"/>
  </si>
  <si>
    <t>卒業者のうち入学を志願した者</t>
    <rPh sb="0" eb="3">
      <t>ソツギョウシャ</t>
    </rPh>
    <rPh sb="6" eb="7">
      <t>ニュウ</t>
    </rPh>
    <rPh sb="7" eb="8">
      <t>ガク</t>
    </rPh>
    <rPh sb="9" eb="11">
      <t>シガン</t>
    </rPh>
    <rPh sb="13" eb="14">
      <t>モノ</t>
    </rPh>
    <phoneticPr fontId="5"/>
  </si>
  <si>
    <t>進学率</t>
    <rPh sb="0" eb="2">
      <t>シンガク</t>
    </rPh>
    <rPh sb="2" eb="3">
      <t>リツ</t>
    </rPh>
    <phoneticPr fontId="5"/>
  </si>
  <si>
    <t>就職率</t>
    <rPh sb="0" eb="2">
      <t>シュウショク</t>
    </rPh>
    <rPh sb="2" eb="3">
      <t>リツ</t>
    </rPh>
    <phoneticPr fontId="5"/>
  </si>
  <si>
    <t>大学</t>
    <rPh sb="0" eb="2">
      <t>ダイガク</t>
    </rPh>
    <phoneticPr fontId="5"/>
  </si>
  <si>
    <t>短大</t>
    <rPh sb="0" eb="2">
      <t>タンダイ</t>
    </rPh>
    <phoneticPr fontId="5"/>
  </si>
  <si>
    <t xml:space="preserve">通信教育部　　
大・短大の別課 </t>
    <rPh sb="0" eb="2">
      <t>ツウシン</t>
    </rPh>
    <rPh sb="2" eb="5">
      <t>キョウイクブ</t>
    </rPh>
    <rPh sb="8" eb="9">
      <t>ダイ</t>
    </rPh>
    <rPh sb="10" eb="12">
      <t>タンダイ</t>
    </rPh>
    <rPh sb="13" eb="14">
      <t>ベツ</t>
    </rPh>
    <rPh sb="14" eb="15">
      <t>カ</t>
    </rPh>
    <phoneticPr fontId="5"/>
  </si>
  <si>
    <t>左記Aのうち</t>
    <rPh sb="0" eb="2">
      <t>サキ</t>
    </rPh>
    <phoneticPr fontId="5"/>
  </si>
  <si>
    <t>左記Bのうち</t>
    <rPh sb="0" eb="2">
      <t>サキ</t>
    </rPh>
    <phoneticPr fontId="5"/>
  </si>
  <si>
    <t>短大</t>
    <rPh sb="0" eb="1">
      <t>タン</t>
    </rPh>
    <rPh sb="1" eb="2">
      <t>ダイ</t>
    </rPh>
    <phoneticPr fontId="5"/>
  </si>
  <si>
    <t>%</t>
    <phoneticPr fontId="5"/>
  </si>
  <si>
    <t>平成19年3月</t>
    <rPh sb="0" eb="2">
      <t>ヘイセイ</t>
    </rPh>
    <rPh sb="4" eb="5">
      <t>ネン</t>
    </rPh>
    <rPh sb="5" eb="7">
      <t>３ガツ</t>
    </rPh>
    <phoneticPr fontId="5"/>
  </si>
  <si>
    <t>平成20年3月</t>
    <rPh sb="0" eb="2">
      <t>ヘイセイ</t>
    </rPh>
    <rPh sb="4" eb="5">
      <t>ネン</t>
    </rPh>
    <rPh sb="5" eb="7">
      <t>３ガツ</t>
    </rPh>
    <phoneticPr fontId="5"/>
  </si>
  <si>
    <t>平成21年3月</t>
    <rPh sb="0" eb="2">
      <t>ヘイセイ</t>
    </rPh>
    <rPh sb="4" eb="5">
      <t>ネン</t>
    </rPh>
    <rPh sb="5" eb="7">
      <t>３ガツ</t>
    </rPh>
    <phoneticPr fontId="5"/>
  </si>
  <si>
    <t>平成22年3月</t>
    <rPh sb="0" eb="2">
      <t>ヘイセイ</t>
    </rPh>
    <rPh sb="4" eb="5">
      <t>ネン</t>
    </rPh>
    <rPh sb="5" eb="7">
      <t>３ガツ</t>
    </rPh>
    <phoneticPr fontId="5"/>
  </si>
  <si>
    <t>平成23年3月</t>
    <rPh sb="0" eb="2">
      <t>ヘイセイ</t>
    </rPh>
    <rPh sb="4" eb="5">
      <t>ネン</t>
    </rPh>
    <rPh sb="6" eb="7">
      <t>ガツ</t>
    </rPh>
    <phoneticPr fontId="5"/>
  </si>
  <si>
    <t>平成24年3月</t>
    <rPh sb="0" eb="2">
      <t>ヘイセイ</t>
    </rPh>
    <rPh sb="4" eb="5">
      <t>ネン</t>
    </rPh>
    <rPh sb="6" eb="7">
      <t>ガツ</t>
    </rPh>
    <phoneticPr fontId="5"/>
  </si>
  <si>
    <t>平成25年3月</t>
    <rPh sb="0" eb="2">
      <t>ヘイセイ</t>
    </rPh>
    <rPh sb="4" eb="5">
      <t>ネン</t>
    </rPh>
    <rPh sb="6" eb="7">
      <t>ガツ</t>
    </rPh>
    <phoneticPr fontId="5"/>
  </si>
  <si>
    <t>平成26年3月</t>
    <rPh sb="0" eb="2">
      <t>ヘイセイ</t>
    </rPh>
    <rPh sb="4" eb="5">
      <t>ネン</t>
    </rPh>
    <rPh sb="6" eb="7">
      <t>ガツ</t>
    </rPh>
    <phoneticPr fontId="5"/>
  </si>
  <si>
    <t>平成27年3月</t>
    <rPh sb="0" eb="2">
      <t>ヘイセイ</t>
    </rPh>
    <rPh sb="4" eb="5">
      <t>ネン</t>
    </rPh>
    <rPh sb="6" eb="7">
      <t>ガツ</t>
    </rPh>
    <phoneticPr fontId="5"/>
  </si>
  <si>
    <t>平成28年3月</t>
    <rPh sb="0" eb="2">
      <t>ヘイセイ</t>
    </rPh>
    <rPh sb="4" eb="5">
      <t>ネン</t>
    </rPh>
    <rPh sb="6" eb="7">
      <t>ガツ</t>
    </rPh>
    <phoneticPr fontId="5"/>
  </si>
  <si>
    <t>平成29年3月</t>
    <rPh sb="0" eb="2">
      <t>ヘイセイ</t>
    </rPh>
    <rPh sb="4" eb="5">
      <t>ネン</t>
    </rPh>
    <rPh sb="6" eb="7">
      <t>ガツ</t>
    </rPh>
    <phoneticPr fontId="5"/>
  </si>
  <si>
    <t>平成30年3月</t>
    <rPh sb="0" eb="2">
      <t>ヘイセイ</t>
    </rPh>
    <rPh sb="4" eb="5">
      <t>ネン</t>
    </rPh>
    <rPh sb="6" eb="7">
      <t>ガツ</t>
    </rPh>
    <phoneticPr fontId="5"/>
  </si>
  <si>
    <t>令和元年3月</t>
    <rPh sb="0" eb="2">
      <t>レイワ</t>
    </rPh>
    <rPh sb="2" eb="4">
      <t>ガンネン</t>
    </rPh>
    <rPh sb="5" eb="6">
      <t>ガツ</t>
    </rPh>
    <phoneticPr fontId="5"/>
  </si>
  <si>
    <t>令和2年3月</t>
    <rPh sb="0" eb="1">
      <t>レイ</t>
    </rPh>
    <rPh sb="1" eb="2">
      <t>カズ</t>
    </rPh>
    <rPh sb="3" eb="4">
      <t>ネン</t>
    </rPh>
    <rPh sb="4" eb="5">
      <t>ヘイネン</t>
    </rPh>
    <rPh sb="5" eb="6">
      <t>ガツ</t>
    </rPh>
    <phoneticPr fontId="5"/>
  </si>
  <si>
    <t>令和3年3月</t>
    <rPh sb="0" eb="1">
      <t>レイ</t>
    </rPh>
    <rPh sb="1" eb="2">
      <t>カズ</t>
    </rPh>
    <rPh sb="3" eb="4">
      <t>ネン</t>
    </rPh>
    <rPh sb="4" eb="5">
      <t>ヘイネン</t>
    </rPh>
    <rPh sb="5" eb="6">
      <t>ガツ</t>
    </rPh>
    <phoneticPr fontId="5"/>
  </si>
  <si>
    <t>令和4年3月</t>
    <rPh sb="0" eb="1">
      <t>レイ</t>
    </rPh>
    <rPh sb="1" eb="2">
      <t>カズ</t>
    </rPh>
    <rPh sb="3" eb="4">
      <t>ネン</t>
    </rPh>
    <rPh sb="4" eb="5">
      <t>ヘイネン</t>
    </rPh>
    <rPh sb="5" eb="6">
      <t>ガツ</t>
    </rPh>
    <phoneticPr fontId="5"/>
  </si>
  <si>
    <t>令和5年3月</t>
    <rPh sb="0" eb="1">
      <t>レイ</t>
    </rPh>
    <rPh sb="1" eb="2">
      <t>カズ</t>
    </rPh>
    <rPh sb="3" eb="4">
      <t>ネン</t>
    </rPh>
    <rPh sb="4" eb="5">
      <t>ヘイネン</t>
    </rPh>
    <rPh sb="5" eb="6">
      <t>ガツ</t>
    </rPh>
    <phoneticPr fontId="5"/>
  </si>
  <si>
    <t>資料：大町岳陽高等学校</t>
    <rPh sb="0" eb="2">
      <t>シリョウ</t>
    </rPh>
    <rPh sb="3" eb="5">
      <t>オオマチ</t>
    </rPh>
    <rPh sb="5" eb="6">
      <t>ガク</t>
    </rPh>
    <rPh sb="6" eb="7">
      <t>ヨウ</t>
    </rPh>
    <rPh sb="7" eb="9">
      <t>コウトウ</t>
    </rPh>
    <rPh sb="9" eb="11">
      <t>ガッコウ</t>
    </rPh>
    <phoneticPr fontId="5"/>
  </si>
  <si>
    <t>高等学校卒業者の産業大分類別就職者数(県内)</t>
    <rPh sb="0" eb="4">
      <t>コウトウガッコウ</t>
    </rPh>
    <rPh sb="4" eb="7">
      <t>ソツギョウシャ</t>
    </rPh>
    <rPh sb="8" eb="10">
      <t>サンギョウ</t>
    </rPh>
    <rPh sb="10" eb="13">
      <t>ダイブンルイ</t>
    </rPh>
    <rPh sb="13" eb="14">
      <t>ベツ</t>
    </rPh>
    <rPh sb="14" eb="17">
      <t>シュウショクシャ</t>
    </rPh>
    <rPh sb="17" eb="18">
      <t>スウ</t>
    </rPh>
    <rPh sb="19" eb="21">
      <t>ケンナイ</t>
    </rPh>
    <phoneticPr fontId="5"/>
  </si>
  <si>
    <t>各年5月1日現在</t>
    <rPh sb="0" eb="1">
      <t>カク</t>
    </rPh>
    <rPh sb="1" eb="2">
      <t>トシ</t>
    </rPh>
    <phoneticPr fontId="5"/>
  </si>
  <si>
    <t>産     業     別</t>
    <rPh sb="0" eb="13">
      <t>サンギョウベツ</t>
    </rPh>
    <phoneticPr fontId="5"/>
  </si>
  <si>
    <t>25年3月卒</t>
    <rPh sb="2" eb="3">
      <t>ネン</t>
    </rPh>
    <rPh sb="5" eb="6">
      <t>ソツ</t>
    </rPh>
    <phoneticPr fontId="5"/>
  </si>
  <si>
    <t>26年3月卒</t>
    <rPh sb="2" eb="3">
      <t>ネン</t>
    </rPh>
    <rPh sb="5" eb="6">
      <t>ソツ</t>
    </rPh>
    <phoneticPr fontId="5"/>
  </si>
  <si>
    <t>27年3月卒</t>
    <rPh sb="2" eb="3">
      <t>ネン</t>
    </rPh>
    <rPh sb="5" eb="6">
      <t>ソツ</t>
    </rPh>
    <phoneticPr fontId="5"/>
  </si>
  <si>
    <t>28年3月卒</t>
    <rPh sb="2" eb="3">
      <t>ネン</t>
    </rPh>
    <rPh sb="5" eb="6">
      <t>ソツ</t>
    </rPh>
    <phoneticPr fontId="5"/>
  </si>
  <si>
    <t>29年3月卒</t>
    <rPh sb="2" eb="3">
      <t>ネン</t>
    </rPh>
    <rPh sb="5" eb="6">
      <t>ソツ</t>
    </rPh>
    <phoneticPr fontId="5"/>
  </si>
  <si>
    <t>30年3月卒</t>
    <rPh sb="2" eb="3">
      <t>ネン</t>
    </rPh>
    <rPh sb="5" eb="6">
      <t>ソツ</t>
    </rPh>
    <phoneticPr fontId="5"/>
  </si>
  <si>
    <t>平成31年3月卒</t>
    <rPh sb="0" eb="2">
      <t>ヘイセイ</t>
    </rPh>
    <rPh sb="4" eb="5">
      <t>ネン</t>
    </rPh>
    <rPh sb="6" eb="7">
      <t>ガツ</t>
    </rPh>
    <rPh sb="7" eb="8">
      <t>ソツ</t>
    </rPh>
    <phoneticPr fontId="5"/>
  </si>
  <si>
    <t>令和2年3月卒</t>
    <rPh sb="0" eb="2">
      <t>レイワ</t>
    </rPh>
    <rPh sb="3" eb="4">
      <t>ネン</t>
    </rPh>
    <rPh sb="5" eb="6">
      <t>ガツ</t>
    </rPh>
    <rPh sb="6" eb="7">
      <t>ソツ</t>
    </rPh>
    <phoneticPr fontId="5"/>
  </si>
  <si>
    <t>令和3年3月卒</t>
    <rPh sb="0" eb="2">
      <t>レイワ</t>
    </rPh>
    <rPh sb="3" eb="4">
      <t>ネン</t>
    </rPh>
    <rPh sb="5" eb="6">
      <t>ガツ</t>
    </rPh>
    <rPh sb="6" eb="7">
      <t>ソツ</t>
    </rPh>
    <phoneticPr fontId="5"/>
  </si>
  <si>
    <t>令和4年3月卒</t>
    <rPh sb="0" eb="2">
      <t>レイワ</t>
    </rPh>
    <rPh sb="3" eb="4">
      <t>ネン</t>
    </rPh>
    <rPh sb="5" eb="6">
      <t>ガツ</t>
    </rPh>
    <rPh sb="6" eb="7">
      <t>ソツ</t>
    </rPh>
    <phoneticPr fontId="5"/>
  </si>
  <si>
    <t>令和5年3月卒</t>
    <rPh sb="0" eb="2">
      <t>レイワ</t>
    </rPh>
    <rPh sb="3" eb="4">
      <t>ネン</t>
    </rPh>
    <rPh sb="5" eb="6">
      <t>ガツ</t>
    </rPh>
    <rPh sb="6" eb="7">
      <t>ソツ</t>
    </rPh>
    <phoneticPr fontId="5"/>
  </si>
  <si>
    <t>農林業</t>
    <rPh sb="0" eb="1">
      <t>ノウ</t>
    </rPh>
    <rPh sb="1" eb="2">
      <t>ハヤシ</t>
    </rPh>
    <rPh sb="2" eb="3">
      <t>ギョウ</t>
    </rPh>
    <phoneticPr fontId="5"/>
  </si>
  <si>
    <t>建設業</t>
    <rPh sb="0" eb="1">
      <t>ダテ</t>
    </rPh>
    <rPh sb="1" eb="2">
      <t>セツ</t>
    </rPh>
    <rPh sb="2" eb="3">
      <t>ギョウ</t>
    </rPh>
    <phoneticPr fontId="5"/>
  </si>
  <si>
    <t>製造業</t>
    <rPh sb="0" eb="1">
      <t>セイ</t>
    </rPh>
    <rPh sb="1" eb="2">
      <t>ヅクリ</t>
    </rPh>
    <rPh sb="2" eb="3">
      <t>ギョウ</t>
    </rPh>
    <phoneticPr fontId="5"/>
  </si>
  <si>
    <t>電気・ガス・熱供給，水道業</t>
    <rPh sb="0" eb="2">
      <t>デンキ</t>
    </rPh>
    <rPh sb="6" eb="7">
      <t>ネツ</t>
    </rPh>
    <rPh sb="7" eb="9">
      <t>キョウキュウ</t>
    </rPh>
    <rPh sb="10" eb="13">
      <t>スイドウギョウ</t>
    </rPh>
    <phoneticPr fontId="5"/>
  </si>
  <si>
    <t>運輸業</t>
    <rPh sb="0" eb="3">
      <t>ウンユギョウ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</si>
  <si>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</si>
  <si>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</si>
  <si>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</si>
  <si>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飲食店，宿泊業</t>
    <rPh sb="0" eb="2">
      <t>インショク</t>
    </rPh>
    <rPh sb="2" eb="3">
      <t>テン</t>
    </rPh>
    <rPh sb="4" eb="6">
      <t>シュクハク</t>
    </rPh>
    <rPh sb="6" eb="7">
      <t>ギョウ</t>
    </rPh>
    <phoneticPr fontId="5"/>
  </si>
  <si>
    <t>公務</t>
    <rPh sb="0" eb="2">
      <t>コウム</t>
    </rPh>
    <phoneticPr fontId="5"/>
  </si>
  <si>
    <t>その他</t>
    <rPh sb="2" eb="3">
      <t>ホカ</t>
    </rPh>
    <phoneticPr fontId="5"/>
  </si>
  <si>
    <t>資料：大町岳陽高等学校</t>
    <rPh sb="0" eb="2">
      <t>シリョウ</t>
    </rPh>
    <rPh sb="3" eb="5">
      <t>オオマチ</t>
    </rPh>
    <rPh sb="5" eb="7">
      <t>ガクヨウ</t>
    </rPh>
    <rPh sb="7" eb="11">
      <t>コウトウガッコウ</t>
    </rPh>
    <phoneticPr fontId="5"/>
  </si>
  <si>
    <t>高等学校卒業者の職業分類別就職者数(県内)</t>
    <rPh sb="0" eb="4">
      <t>コウトウガッコウ</t>
    </rPh>
    <rPh sb="4" eb="7">
      <t>ソツギョウシャ</t>
    </rPh>
    <rPh sb="8" eb="10">
      <t>ショクギョウ</t>
    </rPh>
    <rPh sb="10" eb="11">
      <t>ブン</t>
    </rPh>
    <rPh sb="11" eb="13">
      <t>ルイベツ</t>
    </rPh>
    <rPh sb="13" eb="16">
      <t>シュウショクシャ</t>
    </rPh>
    <rPh sb="16" eb="17">
      <t>スウ</t>
    </rPh>
    <rPh sb="18" eb="20">
      <t>ケンナイ</t>
    </rPh>
    <phoneticPr fontId="5"/>
  </si>
  <si>
    <t>産        業        別</t>
    <rPh sb="0" eb="1">
      <t>サン</t>
    </rPh>
    <rPh sb="9" eb="10">
      <t>ギョウ</t>
    </rPh>
    <rPh sb="18" eb="19">
      <t>ベツ</t>
    </rPh>
    <phoneticPr fontId="5"/>
  </si>
  <si>
    <t>31年3月卒</t>
    <rPh sb="2" eb="3">
      <t>ネン</t>
    </rPh>
    <rPh sb="4" eb="5">
      <t>ガツ</t>
    </rPh>
    <rPh sb="5" eb="6">
      <t>ソツ</t>
    </rPh>
    <phoneticPr fontId="5"/>
  </si>
  <si>
    <t>専門技術</t>
    <rPh sb="0" eb="2">
      <t>センモン</t>
    </rPh>
    <rPh sb="2" eb="4">
      <t>ギジュツ</t>
    </rPh>
    <phoneticPr fontId="5"/>
  </si>
  <si>
    <t>事務従事</t>
    <rPh sb="0" eb="2">
      <t>ジム</t>
    </rPh>
    <rPh sb="2" eb="4">
      <t>ジュウジ</t>
    </rPh>
    <phoneticPr fontId="5"/>
  </si>
  <si>
    <t>販売従事</t>
    <rPh sb="0" eb="2">
      <t>ハンバイ</t>
    </rPh>
    <rPh sb="2" eb="4">
      <t>ジュウジ</t>
    </rPh>
    <phoneticPr fontId="5"/>
  </si>
  <si>
    <t>農林業作業</t>
    <rPh sb="0" eb="3">
      <t>ノウリンギョウ</t>
    </rPh>
    <rPh sb="3" eb="5">
      <t>サギョウ</t>
    </rPh>
    <phoneticPr fontId="5"/>
  </si>
  <si>
    <t>運輸・通信業従事</t>
    <rPh sb="0" eb="2">
      <t>ウンユ</t>
    </rPh>
    <rPh sb="3" eb="6">
      <t>ツウシンギョウ</t>
    </rPh>
    <rPh sb="6" eb="8">
      <t>ジュウジ</t>
    </rPh>
    <phoneticPr fontId="5"/>
  </si>
  <si>
    <t>技能工程生産工程作業</t>
    <rPh sb="0" eb="2">
      <t>ギノウ</t>
    </rPh>
    <rPh sb="2" eb="3">
      <t>コウ</t>
    </rPh>
    <rPh sb="3" eb="4">
      <t>テイ</t>
    </rPh>
    <rPh sb="4" eb="6">
      <t>セイサン</t>
    </rPh>
    <rPh sb="6" eb="8">
      <t>コウテイ</t>
    </rPh>
    <rPh sb="8" eb="10">
      <t>サギョウ</t>
    </rPh>
    <phoneticPr fontId="5"/>
  </si>
  <si>
    <t>単純労働</t>
    <rPh sb="0" eb="2">
      <t>タンジュン</t>
    </rPh>
    <rPh sb="2" eb="4">
      <t>ロウドウ</t>
    </rPh>
    <phoneticPr fontId="5"/>
  </si>
  <si>
    <t>保安職業</t>
    <rPh sb="0" eb="2">
      <t>ホアン</t>
    </rPh>
    <rPh sb="2" eb="4">
      <t>ショクギョウ</t>
    </rPh>
    <phoneticPr fontId="5"/>
  </si>
  <si>
    <t>サービス職業</t>
    <rPh sb="4" eb="6">
      <t>ショクギョウ</t>
    </rPh>
    <phoneticPr fontId="5"/>
  </si>
  <si>
    <t>高等学校卒業者の県内地区別就職者数</t>
    <rPh sb="0" eb="4">
      <t>コウトウガッコウ</t>
    </rPh>
    <rPh sb="4" eb="7">
      <t>ソツギョウシャ</t>
    </rPh>
    <rPh sb="8" eb="10">
      <t>ケンナイ</t>
    </rPh>
    <rPh sb="10" eb="13">
      <t>チクベツ</t>
    </rPh>
    <rPh sb="13" eb="16">
      <t>シュウショクシャ</t>
    </rPh>
    <rPh sb="16" eb="17">
      <t>スウ</t>
    </rPh>
    <phoneticPr fontId="5"/>
  </si>
  <si>
    <t>年　次</t>
    <rPh sb="0" eb="3">
      <t>ネンジ</t>
    </rPh>
    <phoneticPr fontId="5"/>
  </si>
  <si>
    <t>就職者総数</t>
    <rPh sb="0" eb="3">
      <t>シュウショクシャ</t>
    </rPh>
    <rPh sb="3" eb="5">
      <t>ソウスウ</t>
    </rPh>
    <phoneticPr fontId="5"/>
  </si>
  <si>
    <t>県外就職者</t>
    <rPh sb="0" eb="2">
      <t>ケンガイ</t>
    </rPh>
    <rPh sb="2" eb="5">
      <t>シュウショクシャ</t>
    </rPh>
    <phoneticPr fontId="5"/>
  </si>
  <si>
    <t>県内就職者</t>
    <rPh sb="0" eb="2">
      <t>ケンナイ</t>
    </rPh>
    <rPh sb="2" eb="5">
      <t>シュウショクシャ</t>
    </rPh>
    <phoneticPr fontId="5"/>
  </si>
  <si>
    <t>大 北 地 域</t>
    <rPh sb="0" eb="3">
      <t>タイホク</t>
    </rPh>
    <rPh sb="4" eb="7">
      <t>チイキ</t>
    </rPh>
    <phoneticPr fontId="5"/>
  </si>
  <si>
    <t>そ   の   他   の   地   方</t>
    <rPh sb="0" eb="9">
      <t>ソノタ</t>
    </rPh>
    <rPh sb="16" eb="21">
      <t>チホウ</t>
    </rPh>
    <phoneticPr fontId="5"/>
  </si>
  <si>
    <t>人　数</t>
    <rPh sb="0" eb="1">
      <t>ヒト</t>
    </rPh>
    <rPh sb="2" eb="3">
      <t>カズ</t>
    </rPh>
    <phoneticPr fontId="5"/>
  </si>
  <si>
    <t>北安曇郡</t>
    <rPh sb="0" eb="4">
      <t>キタアズミグン</t>
    </rPh>
    <phoneticPr fontId="5"/>
  </si>
  <si>
    <t>長野市</t>
    <rPh sb="0" eb="3">
      <t>ナガノシ</t>
    </rPh>
    <phoneticPr fontId="5"/>
  </si>
  <si>
    <t>岡谷市</t>
    <rPh sb="0" eb="3">
      <t>オカヤシ</t>
    </rPh>
    <phoneticPr fontId="5"/>
  </si>
  <si>
    <t>その他</t>
    <rPh sb="0" eb="3">
      <t>ソノタ</t>
    </rPh>
    <phoneticPr fontId="5"/>
  </si>
  <si>
    <t>％</t>
    <phoneticPr fontId="5"/>
  </si>
  <si>
    <t>資料：大町岳陽高等学校</t>
    <rPh sb="0" eb="2">
      <t>シリョウ</t>
    </rPh>
    <rPh sb="3" eb="7">
      <t>オオマチガクヨウ</t>
    </rPh>
    <rPh sb="7" eb="11">
      <t>コウトウガッコウ</t>
    </rPh>
    <phoneticPr fontId="5"/>
  </si>
  <si>
    <t>高等学校卒業者の都道府県別大学等進学者数</t>
    <rPh sb="0" eb="4">
      <t>コウトウガッコウ</t>
    </rPh>
    <rPh sb="4" eb="7">
      <t>ソツギョウシャ</t>
    </rPh>
    <rPh sb="8" eb="12">
      <t>トドウフケン</t>
    </rPh>
    <rPh sb="12" eb="13">
      <t>ベツ</t>
    </rPh>
    <rPh sb="13" eb="15">
      <t>ダイガク</t>
    </rPh>
    <rPh sb="15" eb="16">
      <t>トウ</t>
    </rPh>
    <rPh sb="16" eb="18">
      <t>シンガク</t>
    </rPh>
    <rPh sb="18" eb="19">
      <t>シャ</t>
    </rPh>
    <rPh sb="19" eb="20">
      <t>スウ</t>
    </rPh>
    <phoneticPr fontId="5"/>
  </si>
  <si>
    <t>総　　　数</t>
    <rPh sb="0" eb="5">
      <t>ソウスウ</t>
    </rPh>
    <phoneticPr fontId="5"/>
  </si>
  <si>
    <t>県　内</t>
    <rPh sb="0" eb="3">
      <t>ケンナイ</t>
    </rPh>
    <phoneticPr fontId="5"/>
  </si>
  <si>
    <t>県　外　　（　都　道　府　県　別　）　　内　訳</t>
    <rPh sb="0" eb="3">
      <t>ケンガイ</t>
    </rPh>
    <rPh sb="7" eb="16">
      <t>トドウフケンベツ</t>
    </rPh>
    <rPh sb="20" eb="23">
      <t>ウチワケ</t>
    </rPh>
    <phoneticPr fontId="5"/>
  </si>
  <si>
    <t>人 数</t>
    <rPh sb="0" eb="3">
      <t>ニンズウ</t>
    </rPh>
    <phoneticPr fontId="5"/>
  </si>
  <si>
    <t>東 京</t>
    <rPh sb="0" eb="3">
      <t>トウキョウ</t>
    </rPh>
    <phoneticPr fontId="5"/>
  </si>
  <si>
    <t>神奈川</t>
    <rPh sb="0" eb="3">
      <t>カナガワ</t>
    </rPh>
    <phoneticPr fontId="5"/>
  </si>
  <si>
    <t>山 梨</t>
    <rPh sb="0" eb="3">
      <t>ヤマナシ</t>
    </rPh>
    <phoneticPr fontId="5"/>
  </si>
  <si>
    <t>愛 知</t>
    <rPh sb="0" eb="3">
      <t>アイチ</t>
    </rPh>
    <phoneticPr fontId="5"/>
  </si>
  <si>
    <t>埼 玉</t>
    <rPh sb="0" eb="3">
      <t>サイタマ</t>
    </rPh>
    <phoneticPr fontId="5"/>
  </si>
  <si>
    <t>千 葉</t>
    <rPh sb="0" eb="3">
      <t>チバ</t>
    </rPh>
    <phoneticPr fontId="5"/>
  </si>
  <si>
    <t>資料：大町岳陽高等学校</t>
    <rPh sb="0" eb="2">
      <t>シリョウ</t>
    </rPh>
    <rPh sb="3" eb="11">
      <t>オオマチガクヨウコウトウガッコウ</t>
    </rPh>
    <phoneticPr fontId="5"/>
  </si>
  <si>
    <t>夏期大学講座の受講者数</t>
    <rPh sb="0" eb="2">
      <t>カキ</t>
    </rPh>
    <rPh sb="2" eb="3">
      <t>ダイ</t>
    </rPh>
    <rPh sb="3" eb="4">
      <t>ガク</t>
    </rPh>
    <rPh sb="4" eb="5">
      <t>コウ</t>
    </rPh>
    <rPh sb="5" eb="6">
      <t>ザ</t>
    </rPh>
    <rPh sb="7" eb="10">
      <t>ジュコウシャ</t>
    </rPh>
    <rPh sb="10" eb="11">
      <t>スウ</t>
    </rPh>
    <phoneticPr fontId="5"/>
  </si>
  <si>
    <t>年 　度</t>
    <rPh sb="0" eb="1">
      <t>トシ</t>
    </rPh>
    <rPh sb="3" eb="4">
      <t>タビ</t>
    </rPh>
    <phoneticPr fontId="5"/>
  </si>
  <si>
    <t>職　業　別　受　講　者</t>
    <rPh sb="0" eb="5">
      <t>ショクギョウベツ</t>
    </rPh>
    <rPh sb="6" eb="11">
      <t>ジュコウシャ</t>
    </rPh>
    <phoneticPr fontId="5"/>
  </si>
  <si>
    <t>地　　域　　別　　受　　講　　者</t>
    <rPh sb="0" eb="7">
      <t>チイキベツ</t>
    </rPh>
    <rPh sb="9" eb="16">
      <t>ジュコウシャ</t>
    </rPh>
    <phoneticPr fontId="5"/>
  </si>
  <si>
    <t>県　　内</t>
    <rPh sb="0" eb="1">
      <t>ケン</t>
    </rPh>
    <rPh sb="3" eb="4">
      <t>ナイ</t>
    </rPh>
    <phoneticPr fontId="5"/>
  </si>
  <si>
    <t>県外一般</t>
    <rPh sb="0" eb="2">
      <t>ケンガイ</t>
    </rPh>
    <rPh sb="2" eb="4">
      <t>イッパン</t>
    </rPh>
    <phoneticPr fontId="5"/>
  </si>
  <si>
    <t>教　員</t>
    <rPh sb="0" eb="3">
      <t>キョウイン</t>
    </rPh>
    <phoneticPr fontId="5"/>
  </si>
  <si>
    <t>学　生</t>
    <rPh sb="0" eb="3">
      <t>ガクセイ</t>
    </rPh>
    <phoneticPr fontId="5"/>
  </si>
  <si>
    <t>郡内教員</t>
    <rPh sb="0" eb="2">
      <t>グンナイ</t>
    </rPh>
    <rPh sb="2" eb="4">
      <t>キョウイン</t>
    </rPh>
    <phoneticPr fontId="5"/>
  </si>
  <si>
    <t>郡内一般</t>
    <rPh sb="0" eb="2">
      <t>グンナイ</t>
    </rPh>
    <rPh sb="2" eb="4">
      <t>イッパン</t>
    </rPh>
    <phoneticPr fontId="5"/>
  </si>
  <si>
    <t>他郡市
教　員</t>
    <rPh sb="0" eb="1">
      <t>タ</t>
    </rPh>
    <rPh sb="1" eb="3">
      <t>グンシ</t>
    </rPh>
    <rPh sb="4" eb="5">
      <t>キョウ</t>
    </rPh>
    <rPh sb="6" eb="7">
      <t>イン</t>
    </rPh>
    <phoneticPr fontId="5"/>
  </si>
  <si>
    <t>他郡市
一　般</t>
    <rPh sb="0" eb="1">
      <t>タ</t>
    </rPh>
    <rPh sb="1" eb="3">
      <t>グンシ</t>
    </rPh>
    <rPh sb="4" eb="5">
      <t>イチ</t>
    </rPh>
    <rPh sb="6" eb="7">
      <t>パン</t>
    </rPh>
    <phoneticPr fontId="5"/>
  </si>
  <si>
    <t>学　生</t>
    <rPh sb="0" eb="1">
      <t>ガク</t>
    </rPh>
    <rPh sb="2" eb="3">
      <t>ショウ</t>
    </rPh>
    <phoneticPr fontId="5"/>
  </si>
  <si>
    <t>平成8年度</t>
    <rPh sb="0" eb="2">
      <t>ヘイセイ</t>
    </rPh>
    <rPh sb="3" eb="5">
      <t>ネンド</t>
    </rPh>
    <phoneticPr fontId="5"/>
  </si>
  <si>
    <t>･･･</t>
  </si>
  <si>
    <t>･･･</t>
    <phoneticPr fontId="5"/>
  </si>
  <si>
    <t>資料：北安曇教育会</t>
    <rPh sb="0" eb="2">
      <t>シリョウ</t>
    </rPh>
    <rPh sb="3" eb="6">
      <t>キタアズミグン</t>
    </rPh>
    <rPh sb="6" eb="8">
      <t>キョウイク</t>
    </rPh>
    <rPh sb="8" eb="9">
      <t>カイ</t>
    </rPh>
    <phoneticPr fontId="5"/>
  </si>
  <si>
    <t>注1.数値は開講中の延べ数</t>
    <rPh sb="0" eb="1">
      <t>チュウ</t>
    </rPh>
    <rPh sb="3" eb="5">
      <t>スウチ</t>
    </rPh>
    <rPh sb="6" eb="9">
      <t>カイコウチュウ</t>
    </rPh>
    <rPh sb="10" eb="11">
      <t>ノ</t>
    </rPh>
    <rPh sb="12" eb="13">
      <t>スウ</t>
    </rPh>
    <phoneticPr fontId="5"/>
  </si>
  <si>
    <t>注2.令和２年度は新型コロナウイルスの影響により実施なし</t>
    <rPh sb="0" eb="1">
      <t>チュウ</t>
    </rPh>
    <rPh sb="3" eb="5">
      <t>レイワ</t>
    </rPh>
    <rPh sb="6" eb="8">
      <t>ネンド</t>
    </rPh>
    <rPh sb="9" eb="11">
      <t>シンガタ</t>
    </rPh>
    <rPh sb="19" eb="21">
      <t>エイキョウ</t>
    </rPh>
    <rPh sb="24" eb="26">
      <t>ジッシ</t>
    </rPh>
    <phoneticPr fontId="5"/>
  </si>
  <si>
    <t>令和2年度</t>
    <rPh sb="0" eb="2">
      <t>レイワ</t>
    </rPh>
    <rPh sb="3" eb="4">
      <t>ネン</t>
    </rPh>
    <rPh sb="4" eb="5">
      <t>ド</t>
    </rPh>
    <phoneticPr fontId="5"/>
  </si>
  <si>
    <t>山岳博物館の観覧状況</t>
    <rPh sb="0" eb="2">
      <t>サンガク</t>
    </rPh>
    <rPh sb="2" eb="5">
      <t>ハクブツカン</t>
    </rPh>
    <rPh sb="6" eb="8">
      <t>カンラン</t>
    </rPh>
    <rPh sb="8" eb="10">
      <t>ジョウキョウ</t>
    </rPh>
    <phoneticPr fontId="5"/>
  </si>
  <si>
    <t>年　　度</t>
    <rPh sb="0" eb="1">
      <t>トシ</t>
    </rPh>
    <rPh sb="3" eb="4">
      <t>ド</t>
    </rPh>
    <phoneticPr fontId="5"/>
  </si>
  <si>
    <t>総　　　　数</t>
    <rPh sb="0" eb="1">
      <t>フサ</t>
    </rPh>
    <rPh sb="5" eb="6">
      <t>カズ</t>
    </rPh>
    <phoneticPr fontId="5"/>
  </si>
  <si>
    <t>一　般　個　人</t>
    <rPh sb="0" eb="1">
      <t>１</t>
    </rPh>
    <rPh sb="2" eb="3">
      <t>バン</t>
    </rPh>
    <rPh sb="4" eb="5">
      <t>コ</t>
    </rPh>
    <rPh sb="6" eb="7">
      <t>ヒト</t>
    </rPh>
    <phoneticPr fontId="5"/>
  </si>
  <si>
    <t>団　　　体</t>
    <rPh sb="0" eb="1">
      <t>ダン</t>
    </rPh>
    <rPh sb="4" eb="5">
      <t>カラダ</t>
    </rPh>
    <phoneticPr fontId="5"/>
  </si>
  <si>
    <t>減免及び
無料入館者</t>
    <rPh sb="0" eb="2">
      <t>ゲンメン</t>
    </rPh>
    <rPh sb="2" eb="3">
      <t>オヨ</t>
    </rPh>
    <rPh sb="5" eb="7">
      <t>ムリョウ</t>
    </rPh>
    <rPh sb="7" eb="10">
      <t>ニュウカンシャ</t>
    </rPh>
    <phoneticPr fontId="5"/>
  </si>
  <si>
    <t>大　人</t>
    <rPh sb="0" eb="1">
      <t>ダイ</t>
    </rPh>
    <rPh sb="2" eb="3">
      <t>ヒト</t>
    </rPh>
    <phoneticPr fontId="5"/>
  </si>
  <si>
    <t>高校生</t>
    <rPh sb="0" eb="2">
      <t>コウコウ</t>
    </rPh>
    <rPh sb="2" eb="3">
      <t>セイ</t>
    </rPh>
    <phoneticPr fontId="5"/>
  </si>
  <si>
    <t>小中学生</t>
    <rPh sb="0" eb="4">
      <t>ショウチュウガクセイ</t>
    </rPh>
    <phoneticPr fontId="5"/>
  </si>
  <si>
    <t>平成15年度</t>
    <rPh sb="0" eb="2">
      <t>ヘイセイ</t>
    </rPh>
    <rPh sb="4" eb="6">
      <t>ネンド</t>
    </rPh>
    <phoneticPr fontId="5"/>
  </si>
  <si>
    <t>令和2</t>
    <rPh sb="0" eb="2">
      <t>レイワ</t>
    </rPh>
    <phoneticPr fontId="5"/>
  </si>
  <si>
    <t>資料：山岳博物館</t>
    <rPh sb="0" eb="2">
      <t>シリョウ</t>
    </rPh>
    <rPh sb="3" eb="5">
      <t>サンガク</t>
    </rPh>
    <rPh sb="5" eb="8">
      <t>ハクブツカン</t>
    </rPh>
    <phoneticPr fontId="5"/>
  </si>
  <si>
    <t>注）減免及び無料入館者は総数に含まない。</t>
    <rPh sb="0" eb="1">
      <t>チュウ</t>
    </rPh>
    <rPh sb="2" eb="4">
      <t>ゲンメン</t>
    </rPh>
    <rPh sb="4" eb="5">
      <t>オヨ</t>
    </rPh>
    <rPh sb="6" eb="8">
      <t>ムリョウ</t>
    </rPh>
    <rPh sb="8" eb="11">
      <t>ニュウカンシャ</t>
    </rPh>
    <rPh sb="12" eb="14">
      <t>ソウスウ</t>
    </rPh>
    <rPh sb="15" eb="16">
      <t>フク</t>
    </rPh>
    <phoneticPr fontId="5"/>
  </si>
  <si>
    <t>国：令和４年１０月３１日現在、県・市：令和６年４月１６日現在</t>
  </si>
  <si>
    <t>名称・指定年月日・所在地</t>
  </si>
  <si>
    <t>説　　　　　　　　明</t>
  </si>
  <si>
    <t>国指定文化財</t>
  </si>
  <si>
    <t>［　国　宝　］</t>
  </si>
  <si>
    <r>
      <t>仁科神明宮本殿、中門（前殿）</t>
    </r>
    <r>
      <rPr>
        <sz val="9"/>
        <color theme="1"/>
        <rFont val="ＭＳ 明朝"/>
        <family val="1"/>
        <charset val="128"/>
      </rPr>
      <t xml:space="preserve"> </t>
    </r>
    <r>
      <rPr>
        <sz val="9"/>
        <color theme="1"/>
        <rFont val="ＭＳ Ｐゴシック"/>
        <family val="3"/>
        <charset val="128"/>
      </rPr>
      <t>２棟</t>
    </r>
  </si>
  <si>
    <t>社１１５９番地</t>
  </si>
  <si>
    <r>
      <t>［</t>
    </r>
    <r>
      <rPr>
        <b/>
        <sz val="9"/>
        <color rgb="FFFF0000"/>
        <rFont val="ＭＳ Ｐゴシック"/>
        <family val="3"/>
        <charset val="128"/>
      </rPr>
      <t>　</t>
    </r>
    <r>
      <rPr>
        <b/>
        <sz val="9"/>
        <color theme="1"/>
        <rFont val="ＭＳ Ｐゴシック"/>
        <family val="3"/>
        <charset val="128"/>
      </rPr>
      <t>国重要文化財　］</t>
    </r>
  </si>
  <si>
    <t>盛蓮寺観音堂</t>
  </si>
  <si>
    <t>社２９３７番地１</t>
  </si>
  <si>
    <t>もとは東北側山中の山寺地籍にあった堂を移築したものと伝えられているが、仁科氏の祈願寺であった関係から、同氏によって造られたものと考えられる。室町時代に建立されているが、鎌倉時代末頃の創建当時のおもかげをわずかにとどめている。桁行３間・梁間３間の寄棟造で、松本平最古の木造建築物である。</t>
  </si>
  <si>
    <t>木造棟札</t>
  </si>
  <si>
    <r>
      <t>永和２年</t>
    </r>
    <r>
      <rPr>
        <sz val="9"/>
        <color theme="1"/>
        <rFont val="ＭＳ 明朝"/>
        <family val="1"/>
        <charset val="128"/>
      </rPr>
      <t>(</t>
    </r>
    <r>
      <rPr>
        <sz val="9"/>
        <color theme="1"/>
        <rFont val="ＭＳ Ｐゴシック"/>
        <family val="3"/>
        <charset val="128"/>
      </rPr>
      <t>１３７６</t>
    </r>
    <r>
      <rPr>
        <sz val="9"/>
        <color theme="1"/>
        <rFont val="ＭＳ 明朝"/>
        <family val="1"/>
        <charset val="128"/>
      </rPr>
      <t>)</t>
    </r>
    <r>
      <rPr>
        <sz val="9"/>
        <color theme="1"/>
        <rFont val="ＭＳ Ｐゴシック"/>
        <family val="3"/>
        <charset val="128"/>
      </rPr>
      <t>から安政３年</t>
    </r>
    <r>
      <rPr>
        <sz val="9"/>
        <color theme="1"/>
        <rFont val="ＭＳ 明朝"/>
        <family val="1"/>
        <charset val="128"/>
      </rPr>
      <t>(</t>
    </r>
    <r>
      <rPr>
        <sz val="9"/>
        <color theme="1"/>
        <rFont val="ＭＳ Ｐゴシック"/>
        <family val="3"/>
        <charset val="128"/>
      </rPr>
      <t>１８５６</t>
    </r>
    <r>
      <rPr>
        <sz val="9"/>
        <color theme="1"/>
        <rFont val="ＭＳ 明朝"/>
        <family val="1"/>
        <charset val="128"/>
      </rPr>
      <t>)</t>
    </r>
    <r>
      <rPr>
        <sz val="9"/>
        <color theme="1"/>
        <rFont val="ＭＳ Ｐゴシック"/>
        <family val="3"/>
        <charset val="128"/>
      </rPr>
      <t>にいたる４８０年間に及ぶ２７枚が指定されており、棟札が単独で指定されているのは全国でもこれだけである。この棟札によって仁科神明宮の２０年に一度の式年造営の様子、仁科氏の家系と家臣、造営事情等を詳細に極めることができ、地方文化の究明の上でも貴重な資料とされている。仁科神明宮蔵。</t>
    </r>
  </si>
  <si>
    <t>若一王子神社本殿</t>
  </si>
  <si>
    <t>大町２０９７番地</t>
  </si>
  <si>
    <r>
      <t>一間社・隅木入春日造・檜皮葺で、承応３年</t>
    </r>
    <r>
      <rPr>
        <sz val="9"/>
        <color theme="1"/>
        <rFont val="ＭＳ 明朝"/>
        <family val="1"/>
        <charset val="128"/>
      </rPr>
      <t>(</t>
    </r>
    <r>
      <rPr>
        <sz val="9"/>
        <color theme="1"/>
        <rFont val="ＭＳ Ｐゴシック"/>
        <family val="3"/>
        <charset val="128"/>
      </rPr>
      <t>１６５４</t>
    </r>
    <r>
      <rPr>
        <sz val="9"/>
        <color theme="1"/>
        <rFont val="ＭＳ 明朝"/>
        <family val="1"/>
        <charset val="128"/>
      </rPr>
      <t>)</t>
    </r>
    <r>
      <rPr>
        <sz val="9"/>
        <color theme="1"/>
        <rFont val="ＭＳ Ｐゴシック"/>
        <family val="3"/>
        <charset val="128"/>
      </rPr>
      <t>の棟札１枚が付属指定されている。室町時代の末頃に仁科氏によって造営されたもので、建築様式に多くの地方様式を残している。</t>
    </r>
  </si>
  <si>
    <t>鉄鰐口</t>
  </si>
  <si>
    <t>社４８８６番地２</t>
  </si>
  <si>
    <r>
      <t>面径２４㎝で表面に安貞２年</t>
    </r>
    <r>
      <rPr>
        <sz val="9"/>
        <color theme="1"/>
        <rFont val="ＭＳ 明朝"/>
        <family val="1"/>
        <charset val="128"/>
      </rPr>
      <t>(</t>
    </r>
    <r>
      <rPr>
        <sz val="9"/>
        <color theme="1"/>
        <rFont val="ＭＳ Ｐゴシック"/>
        <family val="3"/>
        <charset val="128"/>
      </rPr>
      <t>１２２８</t>
    </r>
    <r>
      <rPr>
        <sz val="9"/>
        <color theme="1"/>
        <rFont val="ＭＳ 明朝"/>
        <family val="1"/>
        <charset val="128"/>
      </rPr>
      <t>)</t>
    </r>
    <r>
      <rPr>
        <sz val="9"/>
        <color theme="1"/>
        <rFont val="ＭＳ Ｐゴシック"/>
        <family val="3"/>
        <charset val="128"/>
      </rPr>
      <t>８月の陽刻銘が見られる。木舟にあった仁科氏の祈願寺跡から出土したものと伝えられており、鉄製で年代の明らかな鰐口としては、わが国最古のものである。このような珍しい鰐口が、この地に残っているのは、仁科氏文化の性格を語るものとして貴重で興味深い。木舟集落所蔵。市立大町山岳博物館保管。</t>
    </r>
  </si>
  <si>
    <t>御正体</t>
  </si>
  <si>
    <t>銅製の円盤に仁科神明宮の本地仏大日如来などを取り付けた懸仏で、指定されているのは５面であるが、ほかに１１面が附属指定されている。裏面に「弘安元年卯月廿一日」の朱漆銘のあるものや「弘安九年十二月廿二日」の墨書銘のあるものがあるほか、「志ん名」「志んめいの御しやうたい」と記されているものがある。</t>
  </si>
  <si>
    <t>木造千手観音立像</t>
  </si>
  <si>
    <r>
      <t>檜材・寄木造、像高１６８．２㎝。像造年代が平安時代末期であるが、技法や彫り方にはそれ以前のものを感じさせる。木像の胎内には願主・仏師などの名前や治承３年</t>
    </r>
    <r>
      <rPr>
        <sz val="9"/>
        <color theme="1"/>
        <rFont val="ＭＳ 明朝"/>
        <family val="1"/>
        <charset val="128"/>
      </rPr>
      <t>(</t>
    </r>
    <r>
      <rPr>
        <sz val="9"/>
        <color theme="1"/>
        <rFont val="ＭＳ Ｐゴシック"/>
        <family val="3"/>
        <charset val="128"/>
      </rPr>
      <t>１１７９</t>
    </r>
    <r>
      <rPr>
        <sz val="9"/>
        <color theme="1"/>
        <rFont val="ＭＳ 明朝"/>
        <family val="1"/>
        <charset val="128"/>
      </rPr>
      <t>)</t>
    </r>
    <r>
      <rPr>
        <sz val="9"/>
        <color theme="1"/>
        <rFont val="ＭＳ Ｐゴシック"/>
        <family val="3"/>
        <charset val="128"/>
      </rPr>
      <t>３月と年代など造像事情を記した墨書木札１枚、白銅製菊花双雀文鏡１枚、紙本千手観音摺仏２８枚が納入されており、白銅鏡は附属指定となっている。藤尾覚音寺の本尊で、「藤尾の観音さま」と呼ばれ人々に親しまれている。</t>
    </r>
  </si>
  <si>
    <r>
      <t>木造持国天立像、木造多聞天立像</t>
    </r>
    <r>
      <rPr>
        <sz val="9"/>
        <color theme="1"/>
        <rFont val="ＭＳ 明朝"/>
        <family val="1"/>
        <charset val="128"/>
      </rPr>
      <t xml:space="preserve"> </t>
    </r>
    <r>
      <rPr>
        <sz val="9"/>
        <color theme="1"/>
        <rFont val="ＭＳ Ｐゴシック"/>
        <family val="3"/>
        <charset val="128"/>
      </rPr>
      <t>２躰</t>
    </r>
  </si>
  <si>
    <r>
      <t>２躰は覚音寺千手観音立像の脇持で、檜材・寄木造。像高は持国天１６１．５㎝、多聞天１５７．６㎝。像の背面には、持国天・建久５年</t>
    </r>
    <r>
      <rPr>
        <sz val="9"/>
        <color theme="1"/>
        <rFont val="ＭＳ 明朝"/>
        <family val="1"/>
        <charset val="128"/>
      </rPr>
      <t>(</t>
    </r>
    <r>
      <rPr>
        <sz val="9"/>
        <color theme="1"/>
        <rFont val="ＭＳ Ｐゴシック"/>
        <family val="3"/>
        <charset val="128"/>
      </rPr>
      <t>１１９４</t>
    </r>
    <r>
      <rPr>
        <sz val="9"/>
        <color theme="1"/>
        <rFont val="ＭＳ 明朝"/>
        <family val="1"/>
        <charset val="128"/>
      </rPr>
      <t>)</t>
    </r>
    <r>
      <rPr>
        <sz val="9"/>
        <color theme="1"/>
        <rFont val="ＭＳ Ｐゴシック"/>
        <family val="3"/>
        <charset val="128"/>
      </rPr>
      <t>、多聞天・建久６年</t>
    </r>
    <r>
      <rPr>
        <sz val="9"/>
        <color theme="1"/>
        <rFont val="ＭＳ 明朝"/>
        <family val="1"/>
        <charset val="128"/>
      </rPr>
      <t>(</t>
    </r>
    <r>
      <rPr>
        <sz val="9"/>
        <color theme="1"/>
        <rFont val="ＭＳ Ｐゴシック"/>
        <family val="3"/>
        <charset val="128"/>
      </rPr>
      <t>１１９５</t>
    </r>
    <r>
      <rPr>
        <sz val="9"/>
        <color theme="1"/>
        <rFont val="ＭＳ 明朝"/>
        <family val="1"/>
        <charset val="128"/>
      </rPr>
      <t>)</t>
    </r>
    <r>
      <rPr>
        <sz val="9"/>
        <color theme="1"/>
        <rFont val="ＭＳ Ｐゴシック"/>
        <family val="3"/>
        <charset val="128"/>
      </rPr>
      <t>年と年号の陰刻銘が刻まれており、これが造像年代と考えられる。鎌倉時代初頭の造像であるが、作風は平安時代後期の作風を残している。</t>
    </r>
  </si>
  <si>
    <r>
      <t>旧中村家住宅主屋、土蔵</t>
    </r>
    <r>
      <rPr>
        <sz val="9"/>
        <color theme="1"/>
        <rFont val="ＭＳ 明朝"/>
        <family val="1"/>
        <charset val="128"/>
      </rPr>
      <t xml:space="preserve"> </t>
    </r>
    <r>
      <rPr>
        <sz val="9"/>
        <color theme="1"/>
        <rFont val="ＭＳ Ｐゴシック"/>
        <family val="3"/>
        <charset val="128"/>
      </rPr>
      <t>２棟</t>
    </r>
  </si>
  <si>
    <t>美麻１７６６８番地</t>
  </si>
  <si>
    <t>［　国天然記念物　］</t>
  </si>
  <si>
    <t>高瀬渓谷の噴湯丘と球状石灰石</t>
  </si>
  <si>
    <t>平　湯俣</t>
  </si>
  <si>
    <r>
      <t>高瀬渓谷の湯俣川下流付近で温泉沈殿物（主に炭酸カルシウム）が河床に堆積して小さな火山のような形（噴湯丘）になり、中央の湧き口に白い小豆粒大の霰石</t>
    </r>
    <r>
      <rPr>
        <sz val="9"/>
        <color theme="1"/>
        <rFont val="ＭＳ 明朝"/>
        <family val="1"/>
        <charset val="128"/>
      </rPr>
      <t>(</t>
    </r>
    <r>
      <rPr>
        <sz val="9"/>
        <color theme="1"/>
        <rFont val="ＭＳ Ｐゴシック"/>
        <family val="3"/>
        <charset val="128"/>
      </rPr>
      <t>あられいし</t>
    </r>
    <r>
      <rPr>
        <sz val="9"/>
        <color theme="1"/>
        <rFont val="ＭＳ 明朝"/>
        <family val="1"/>
        <charset val="128"/>
      </rPr>
      <t>)</t>
    </r>
    <r>
      <rPr>
        <sz val="9"/>
        <color theme="1"/>
        <rFont val="ＭＳ Ｐゴシック"/>
        <family val="3"/>
        <charset val="128"/>
      </rPr>
      <t>（球状方解石）ができる現象が珍しい。</t>
    </r>
  </si>
  <si>
    <t>［　国特別天然記念物　］</t>
  </si>
  <si>
    <t>地域を定めず指定されているもの（種指定）で、市内に生息するもの。</t>
  </si>
  <si>
    <t>ライチョウ</t>
  </si>
  <si>
    <t>動物・鳥類</t>
  </si>
  <si>
    <t>ニホンカモシカ</t>
  </si>
  <si>
    <t>動物・哺乳類</t>
  </si>
  <si>
    <t>イヌワシ</t>
  </si>
  <si>
    <t>ヤマネ</t>
  </si>
  <si>
    <t>国登録文化財</t>
  </si>
  <si>
    <t>［　国登録有形文化財　］</t>
  </si>
  <si>
    <t>平林家住宅　主屋</t>
  </si>
  <si>
    <t>大町２５７２番地１</t>
  </si>
  <si>
    <r>
      <t>主屋は間口７間の土蔵造２階建で、式台玄関や座敷棟を併設している。明治２３年</t>
    </r>
    <r>
      <rPr>
        <sz val="9"/>
        <color theme="1"/>
        <rFont val="ＭＳ 明朝"/>
        <family val="1"/>
        <charset val="128"/>
      </rPr>
      <t>(</t>
    </r>
    <r>
      <rPr>
        <sz val="9"/>
        <color theme="1"/>
        <rFont val="ＭＳ Ｐゴシック"/>
        <family val="3"/>
        <charset val="128"/>
      </rPr>
      <t>１８９０</t>
    </r>
    <r>
      <rPr>
        <sz val="9"/>
        <color theme="1"/>
        <rFont val="ＭＳ 明朝"/>
        <family val="1"/>
        <charset val="128"/>
      </rPr>
      <t>)</t>
    </r>
    <r>
      <rPr>
        <sz val="9"/>
        <color theme="1"/>
        <rFont val="ＭＳ Ｐゴシック"/>
        <family val="3"/>
        <charset val="128"/>
      </rPr>
      <t>に再建された建物で、松本の開智学校などを手掛けた立石清重の設計により、防火等の対策がなされた大町初の土蔵造町家として貴重。</t>
    </r>
  </si>
  <si>
    <r>
      <t>平林家住宅</t>
    </r>
    <r>
      <rPr>
        <sz val="9"/>
        <color theme="1"/>
        <rFont val="ＭＳ 明朝"/>
        <family val="1"/>
        <charset val="128"/>
      </rPr>
      <t xml:space="preserve"> </t>
    </r>
    <r>
      <rPr>
        <sz val="9"/>
        <color theme="1"/>
        <rFont val="ＭＳ Ｐゴシック"/>
        <family val="3"/>
        <charset val="128"/>
      </rPr>
      <t>文庫蔵・塩蔵・漬物蔵</t>
    </r>
  </si>
  <si>
    <r>
      <t>文庫蔵・塩蔵・漬物蔵は３棟の土蔵を置き屋根形式の切主間作りの屋根で一体化した土蔵で、東正面に下屋庇をつけている。文庫蔵は江戸時代後期の建立で、塩蔵・漬物蔵は明治２年</t>
    </r>
    <r>
      <rPr>
        <sz val="9"/>
        <color theme="1"/>
        <rFont val="ＭＳ 明朝"/>
        <family val="1"/>
        <charset val="128"/>
      </rPr>
      <t>(</t>
    </r>
    <r>
      <rPr>
        <sz val="9"/>
        <color theme="1"/>
        <rFont val="ＭＳ Ｐゴシック"/>
        <family val="3"/>
        <charset val="128"/>
      </rPr>
      <t>１８６９</t>
    </r>
    <r>
      <rPr>
        <sz val="9"/>
        <color theme="1"/>
        <rFont val="ＭＳ 明朝"/>
        <family val="1"/>
        <charset val="128"/>
      </rPr>
      <t>)</t>
    </r>
    <r>
      <rPr>
        <sz val="9"/>
        <color theme="1"/>
        <rFont val="ＭＳ Ｐゴシック"/>
        <family val="3"/>
        <charset val="128"/>
      </rPr>
      <t>に増築されたものである。</t>
    </r>
  </si>
  <si>
    <t>東京藝術大学山岳部黒沢ヒュッテ</t>
  </si>
  <si>
    <r>
      <t>昭和３５年</t>
    </r>
    <r>
      <rPr>
        <sz val="9"/>
        <color theme="1"/>
        <rFont val="ＭＳ 明朝"/>
        <family val="1"/>
        <charset val="128"/>
      </rPr>
      <t>(</t>
    </r>
    <r>
      <rPr>
        <sz val="9"/>
        <color theme="1"/>
        <rFont val="ＭＳ Ｐゴシック"/>
        <family val="3"/>
        <charset val="128"/>
      </rPr>
      <t>１９６０</t>
    </r>
    <r>
      <rPr>
        <sz val="9"/>
        <color theme="1"/>
        <rFont val="ＭＳ 明朝"/>
        <family val="1"/>
        <charset val="128"/>
      </rPr>
      <t>)</t>
    </r>
    <r>
      <rPr>
        <sz val="9"/>
        <color theme="1"/>
        <rFont val="ＭＳ Ｐゴシック"/>
        <family val="3"/>
        <charset val="128"/>
      </rPr>
      <t>に東京藝術大学山岳部によって建設された山小屋で、標高１，２００ｍの尾根上に建つ１階はコンクリートブロック造、２階は木造。折板状の片流れ屋根の軒を張出し南西面に広く開口する斬新なデザインの山小屋で、テラスからは後立山連峰を望む。戦後の登山ブームの一端を示す山岳施設である。</t>
    </r>
  </si>
  <si>
    <t>旧北澤家住宅　主屋</t>
  </si>
  <si>
    <t>Ｒ元．９．１０</t>
  </si>
  <si>
    <t>八坂９０８番地</t>
  </si>
  <si>
    <r>
      <t>嘉永２</t>
    </r>
    <r>
      <rPr>
        <sz val="9"/>
        <color theme="1"/>
        <rFont val="ＭＳ 明朝"/>
        <family val="1"/>
        <charset val="128"/>
      </rPr>
      <t>(</t>
    </r>
    <r>
      <rPr>
        <sz val="9"/>
        <color theme="1"/>
        <rFont val="ＭＳ Ｐゴシック"/>
        <family val="3"/>
        <charset val="128"/>
      </rPr>
      <t>１８４９</t>
    </r>
    <r>
      <rPr>
        <sz val="9"/>
        <color theme="1"/>
        <rFont val="ＭＳ 明朝"/>
        <family val="1"/>
        <charset val="128"/>
      </rPr>
      <t>)</t>
    </r>
    <r>
      <rPr>
        <sz val="9"/>
        <color theme="1"/>
        <rFont val="ＭＳ Ｐゴシック"/>
        <family val="3"/>
        <charset val="128"/>
      </rPr>
      <t>年頃に建設（明治後期・昭和５０年代改修）された、山間にある集落の庄屋宅で、間口の広い寄棟造茅葺（鉄板仮葺）の２階建、軒出桁造。山村景観の核をなす豪壮な民家として貴重である。</t>
    </r>
  </si>
  <si>
    <r>
      <t>栗林家住宅（創舎わちがい）</t>
    </r>
    <r>
      <rPr>
        <sz val="9"/>
        <color theme="1"/>
        <rFont val="ＭＳ 明朝"/>
        <family val="1"/>
        <charset val="128"/>
      </rPr>
      <t xml:space="preserve"> </t>
    </r>
    <r>
      <rPr>
        <sz val="9"/>
        <color theme="1"/>
        <rFont val="ＭＳ Ｐゴシック"/>
        <family val="3"/>
        <charset val="128"/>
      </rPr>
      <t>店舗</t>
    </r>
  </si>
  <si>
    <t>大町４０８４番地１ほか</t>
  </si>
  <si>
    <r>
      <t>大正後期建設。木造２階建、瓦葺、建築面積１０８㎡。栗林家は大町組大庄屋を務めた旧家。近代以降も戸長、運送業、医院を営む。屋号は「輪違</t>
    </r>
    <r>
      <rPr>
        <sz val="9"/>
        <color theme="1"/>
        <rFont val="ＭＳ 明朝"/>
        <family val="1"/>
        <charset val="128"/>
      </rPr>
      <t>(</t>
    </r>
    <r>
      <rPr>
        <sz val="9"/>
        <color theme="1"/>
        <rFont val="ＭＳ Ｐゴシック"/>
        <family val="3"/>
        <charset val="128"/>
      </rPr>
      <t>わちがい</t>
    </r>
    <r>
      <rPr>
        <sz val="9"/>
        <color theme="1"/>
        <rFont val="ＭＳ 明朝"/>
        <family val="1"/>
        <charset val="128"/>
      </rPr>
      <t>)</t>
    </r>
    <r>
      <rPr>
        <sz val="9"/>
        <color theme="1"/>
        <rFont val="ＭＳ Ｐゴシック"/>
        <family val="3"/>
        <charset val="128"/>
      </rPr>
      <t>」。店舗は切妻造・平入・桟瓦葺で通りに面し、２階に床付座敷を配する。</t>
    </r>
  </si>
  <si>
    <r>
      <t>栗林家住宅（創舎わちがい）</t>
    </r>
    <r>
      <rPr>
        <sz val="9"/>
        <color theme="1"/>
        <rFont val="ＭＳ 明朝"/>
        <family val="1"/>
        <charset val="128"/>
      </rPr>
      <t xml:space="preserve"> </t>
    </r>
    <r>
      <rPr>
        <sz val="9"/>
        <color theme="1"/>
        <rFont val="ＭＳ Ｐゴシック"/>
        <family val="3"/>
        <charset val="128"/>
      </rPr>
      <t>主屋</t>
    </r>
  </si>
  <si>
    <t>江戸末期建設。木造平屋・一部２階建、瓦葺及び鉄板葺、建築面積１１９㎡。主屋は通りから門、庭を前面に介して位置し、南側の店舗側面後方と接続する。切妻造・平入で、元は板葺。</t>
  </si>
  <si>
    <r>
      <t>栗林家住宅（創舎わちがい）</t>
    </r>
    <r>
      <rPr>
        <sz val="9"/>
        <color theme="1"/>
        <rFont val="ＭＳ 明朝"/>
        <family val="1"/>
        <charset val="128"/>
      </rPr>
      <t xml:space="preserve"> </t>
    </r>
    <r>
      <rPr>
        <sz val="9"/>
        <color theme="1"/>
        <rFont val="ＭＳ Ｐゴシック"/>
        <family val="3"/>
        <charset val="128"/>
      </rPr>
      <t>門及び塀</t>
    </r>
  </si>
  <si>
    <t>明治前期建設。木造、瓦葺、間口３．６ｍ、板塀付、総延長８．９ｍ。門は店舗の北に並んで通りに開く切妻造・桟瓦葺の薬医門。北側袖壁に潜り戸を設け、格式ある構えで歴史的景観を伝える。</t>
  </si>
  <si>
    <t>長野県指定文化財</t>
  </si>
  <si>
    <t>［　長野県宝　］</t>
  </si>
  <si>
    <t>木造観音菩薩立像</t>
  </si>
  <si>
    <t>大町４１８８番地</t>
  </si>
  <si>
    <r>
      <t>平安時代中期の製作と考えられるもので、欅の一木造。後に補われ修理された部分もあるが、平安時代初期の貞観様式を多分にもつ安曇平最古の木像である。像高５尺３寸３分</t>
    </r>
    <r>
      <rPr>
        <sz val="9"/>
        <color theme="1"/>
        <rFont val="ＭＳ Ｐ明朝"/>
        <family val="1"/>
        <charset val="128"/>
      </rPr>
      <t>(</t>
    </r>
    <r>
      <rPr>
        <sz val="9"/>
        <color theme="1"/>
        <rFont val="ＭＳ Ｐゴシック"/>
        <family val="3"/>
        <charset val="128"/>
      </rPr>
      <t>約１６１．５㎝</t>
    </r>
    <r>
      <rPr>
        <sz val="9"/>
        <color theme="1"/>
        <rFont val="ＭＳ Ｐ明朝"/>
        <family val="1"/>
        <charset val="128"/>
      </rPr>
      <t>)</t>
    </r>
    <r>
      <rPr>
        <sz val="9"/>
        <color theme="1"/>
        <rFont val="ＭＳ Ｐゴシック"/>
        <family val="3"/>
        <charset val="128"/>
      </rPr>
      <t>の立像。弾誓寺観世音保存会蔵。</t>
    </r>
  </si>
  <si>
    <t>若一王子神社三重塔</t>
  </si>
  <si>
    <r>
      <t>弾誓寺六世木食故信法阿の発願で宝永３年（１７０６）から工事を始め、宝永８年（１７１１）に竣工した。蟇股</t>
    </r>
    <r>
      <rPr>
        <sz val="9"/>
        <color theme="1"/>
        <rFont val="ＭＳ 明朝"/>
        <family val="1"/>
        <charset val="128"/>
      </rPr>
      <t>(</t>
    </r>
    <r>
      <rPr>
        <sz val="9"/>
        <color theme="1"/>
        <rFont val="ＭＳ Ｐゴシック"/>
        <family val="3"/>
        <charset val="128"/>
      </rPr>
      <t>かえるまた</t>
    </r>
    <r>
      <rPr>
        <sz val="9"/>
        <color theme="1"/>
        <rFont val="ＭＳ Ｐ明朝"/>
        <family val="1"/>
        <charset val="128"/>
      </rPr>
      <t>)</t>
    </r>
    <r>
      <rPr>
        <sz val="9"/>
        <color theme="1"/>
        <rFont val="ＭＳ Ｐゴシック"/>
        <family val="3"/>
        <charset val="128"/>
      </rPr>
      <t>内部に方位に合わせ獣面人身という珍しい彫刻が施されており、この地方としてはまれに見る優雅な塔で、松本平で唯一の木造の塔である。棟札４枚が附属指定。</t>
    </r>
  </si>
  <si>
    <t>天正寺三重小塔</t>
  </si>
  <si>
    <t>大町４７２９番地４</t>
  </si>
  <si>
    <t>若一王子神社の三重塔の原型とも言い伝えられ、１０分の１の縮尺であるとされているが、細部の手法には若一王子神社の三重塔とは異なったところが見られる。造られた年代は江戸中期とみられる。</t>
  </si>
  <si>
    <t>大黒町舞台</t>
  </si>
  <si>
    <t>諏訪の名匠二代目立川和四郎富昌により、江戸時代後期の文政９年（１８２６）頃までに完成したと思われる。二層構成・切妻起屋根･三輪形式の稼動舞台。随所に入念巧遅な立川流の彫刻があり、美術的価値が高い。明治２１年（１８８８）年に松本の本町二丁目から購入し、以来毎年７月の若一王子神社の夏祭りに市街を巡行している。大黒町自治会蔵。</t>
  </si>
  <si>
    <t>霊松寺山門</t>
  </si>
  <si>
    <r>
      <t>入母屋造・正面３間・側面２間の楼門形式の八脚門で総欅造</t>
    </r>
    <r>
      <rPr>
        <sz val="9"/>
        <color theme="1"/>
        <rFont val="ＭＳ Ｐ明朝"/>
        <family val="1"/>
        <charset val="128"/>
      </rPr>
      <t>(</t>
    </r>
    <r>
      <rPr>
        <sz val="9"/>
        <color theme="1"/>
        <rFont val="ＭＳ Ｐゴシック"/>
        <family val="3"/>
        <charset val="128"/>
      </rPr>
      <t>そうけやきづくり</t>
    </r>
    <r>
      <rPr>
        <sz val="9"/>
        <color theme="1"/>
        <rFont val="ＭＳ Ｐ明朝"/>
        <family val="1"/>
        <charset val="128"/>
      </rPr>
      <t>)</t>
    </r>
    <r>
      <rPr>
        <sz val="9"/>
        <color theme="1"/>
        <rFont val="ＭＳ Ｐゴシック"/>
        <family val="3"/>
        <charset val="128"/>
      </rPr>
      <t>である。和様の重厚な形式を基本にして、唐様を取り入れた折衷様式でいたる所に施された素木彫の建築彫刻は、江戸時代後期立川流の流れをよく表している。嘉永５年（１８５２）に諏訪郡高部村の藤森広八（二代目政因）が棟梁となって、松川村観勝院に建てられたが、同寺が廃寺となった明治１１年（１８７８）に霊松寺へ移築されたものである。</t>
    </r>
  </si>
  <si>
    <r>
      <t>銅造十一面観音坐像御正体残闕</t>
    </r>
    <r>
      <rPr>
        <sz val="9"/>
        <color theme="1"/>
        <rFont val="ＭＳ Ｐ明朝"/>
        <family val="1"/>
        <charset val="128"/>
      </rPr>
      <t>(</t>
    </r>
    <r>
      <rPr>
        <sz val="9"/>
        <color theme="1"/>
        <rFont val="ＭＳ Ｐゴシック"/>
        <family val="3"/>
        <charset val="128"/>
      </rPr>
      <t>ざんけつ</t>
    </r>
    <r>
      <rPr>
        <sz val="9"/>
        <color theme="1"/>
        <rFont val="ＭＳ Ｐ明朝"/>
        <family val="1"/>
        <charset val="128"/>
      </rPr>
      <t>)</t>
    </r>
  </si>
  <si>
    <r>
      <t>若一王子神社観音堂の現在の本尊。本来は懸仏であったものであるが鏡板を失い仏体のみとなっている。鋳銅造で像高１９㎝、蓮華座の高さ３㎝の坐像で、右手は施無畏、左手には瓶中蓮を持っていたと思われるがこれも失われている。やや下膨れの顔が柔和で体型はふっくらとしており、彫りは浅く衲衣</t>
    </r>
    <r>
      <rPr>
        <sz val="9"/>
        <color theme="1"/>
        <rFont val="ＭＳ Ｐ明朝"/>
        <family val="1"/>
        <charset val="128"/>
      </rPr>
      <t>(</t>
    </r>
    <r>
      <rPr>
        <sz val="9"/>
        <color theme="1"/>
        <rFont val="ＭＳ Ｐゴシック"/>
        <family val="3"/>
        <charset val="128"/>
      </rPr>
      <t>のうい</t>
    </r>
    <r>
      <rPr>
        <sz val="9"/>
        <color theme="1"/>
        <rFont val="ＭＳ Ｐ明朝"/>
        <family val="1"/>
        <charset val="128"/>
      </rPr>
      <t>)</t>
    </r>
    <r>
      <rPr>
        <sz val="9"/>
        <color theme="1"/>
        <rFont val="ＭＳ Ｐゴシック"/>
        <family val="3"/>
        <charset val="128"/>
      </rPr>
      <t>も簡略であるが優美な仏像である。</t>
    </r>
  </si>
  <si>
    <t>山寺廃寺跡出土品</t>
  </si>
  <si>
    <t>社３９４５番地２</t>
  </si>
  <si>
    <t>鎌倉～室町時代に社閏田の東山中にあったと伝えられる山寺廃寺跡から出土した火葬骨の蔵骨器で、四耳壺１・瓶子２・土師質小皿１・青白磁水注１・写経石（法華経の一部が石に墨で書かれたもの）１がある。四耳壺・瓶子は古瀬戸で、鎌倉時代中期以前の優れた製品。水注は中国の景徳鎮での製造と推定される。大町市民俗資料館保管。</t>
  </si>
  <si>
    <t>若一王子神社観音堂及び宮殿</t>
  </si>
  <si>
    <t>観音堂は江戸時代中期の宝永３年（１７０６）に建立された宝形造、茅葺・三間四面の和様建築。内部は表側２間通りを外陣とし、奥１間通りを内陣として宮殿（厨子）を置く。宮殿は禅宗様式を多く取り入れ、和様と唐様を折衷したものである。棟札が附属指定。</t>
  </si>
  <si>
    <t>山の神遺跡出土品</t>
  </si>
  <si>
    <t>大町４７００番地</t>
  </si>
  <si>
    <t>山の神遺跡は、大町市常盤にあり、縄文時代早期中葉（今から約９，０００年前）を中心とした遺跡。本遺跡から発見された出土品のうち、とくに学術的に価値が高く、県内の縄文文化の一端を知ることができる貴重な資料として、押型文土器ほか４点（押型文土器３点、縄文土器１点）と異形部分磨製石器４１点の計４５点を指定。大町市文化財センター保管。</t>
  </si>
  <si>
    <t>［　長野県無形民俗文化財　］</t>
  </si>
  <si>
    <t>仁科神明宮の神楽</t>
  </si>
  <si>
    <t>仁科神明宮の秋の例祭に奉納される、能を取り入れた神楽。演目は剣の舞･岩戸神楽・五行の舞・水継・幣の舞・竜神神楽・道祖神の７座である。舞だけの座と、舞を伴いつつ謡曲によって天の岩戸・海幸山幸・天孫降臨の神話を展開していく座がある。</t>
  </si>
  <si>
    <t>仁科神明宮・作始め神事</t>
  </si>
  <si>
    <t>仁科神明宮の春の例祭に、伊勢神宮の祈念祭（としごいのまつり）にならって行われている神事。鍬初めから苗代づくり･種播き・鳥追いまでの一連の水田耕作の所作が、神楽殿内を一坪の広さに仕切った中で演じられる。その年の作況を占う神事。</t>
  </si>
  <si>
    <t>流鏑馬の神事</t>
  </si>
  <si>
    <t>毎年７月第４日曜日の前々日から３日間（旧来は７月１５～１７日、後に７月２８・２９日）の若一王子神社の例祭で、最終日に行われる。７～８歳前後の男子が化粧をして狩衣装束をつけ、飾った馬に乗り、的板めがけ弓矢を射る神事。この神事のもとは農作の豊凶を占う神事で、武士の間で盛んであった「やぶさめ」の形を取り入れた地方色の強い神事と考えられる。</t>
  </si>
  <si>
    <t>［　長野県史跡　］</t>
  </si>
  <si>
    <t>上原遺跡</t>
  </si>
  <si>
    <r>
      <t>昭和２５～２７年</t>
    </r>
    <r>
      <rPr>
        <sz val="9"/>
        <color theme="1"/>
        <rFont val="ＭＳ 明朝"/>
        <family val="1"/>
        <charset val="128"/>
      </rPr>
      <t>(</t>
    </r>
    <r>
      <rPr>
        <sz val="9"/>
        <color theme="1"/>
        <rFont val="ＭＳ Ｐゴシック"/>
        <family val="3"/>
        <charset val="128"/>
      </rPr>
      <t>１９５０～５２</t>
    </r>
    <r>
      <rPr>
        <sz val="9"/>
        <color theme="1"/>
        <rFont val="ＭＳ 明朝"/>
        <family val="1"/>
        <charset val="128"/>
      </rPr>
      <t>)</t>
    </r>
    <r>
      <rPr>
        <sz val="9"/>
        <color theme="1"/>
        <rFont val="ＭＳ Ｐゴシック"/>
        <family val="3"/>
        <charset val="128"/>
      </rPr>
      <t>の４次にわたる発掘調査で、配石跡や竪穴等の遺構の発見があった縄文時代前期を代表する遺跡。配石遺構は２群あって、１号群は中心石柱１個、側石柱１２個により南北径３．６ｍ、東西径２．２ｍの楕円形に復元され、２号群はこの南に２．４ｍ離れ、中心石柱１個、側石柱６個により径１．８ｍの円形に復元されている。竪穴は配石跡の南４０ｍにあり、径２ｍ・深さ１ｍの円形竪穴で側壁が階段状になっており、焚火跡も見られた。出土遺物では土器は縄文時代前期のものを中心とし、それに伴う石器は石斧・石鏃・石匙･石錐・玦状耳飾等がある。指定区域面積は約４０，０００㎡。</t>
    </r>
  </si>
  <si>
    <r>
      <t>[</t>
    </r>
    <r>
      <rPr>
        <b/>
        <sz val="9"/>
        <color theme="1"/>
        <rFont val="ＭＳ Ｐゴシック"/>
        <family val="3"/>
        <charset val="128"/>
      </rPr>
      <t>　長野県天然記念物　</t>
    </r>
    <r>
      <rPr>
        <b/>
        <sz val="9"/>
        <color theme="1"/>
        <rFont val="ＭＳ 明朝"/>
        <family val="1"/>
        <charset val="128"/>
      </rPr>
      <t>]</t>
    </r>
  </si>
  <si>
    <t>大塩のイヌザクラ</t>
  </si>
  <si>
    <t>静御前がこの地を通ったときに持っていた杖をさしたのが根付いて大きくなったという伝承から、「静の桜」と呼ばれる。目通り幹囲は８．４５ｍ、太い幹に比して樹高約２０ｍと低いが、枝は四方に良く伸びており、樹姿が雄大である。開花期は５月下旬で、花径５㎜ぐらいの梅花状の白い花が穂状につく。このようなイヌザクラの巨木は非常に珍しく貴重である。</t>
  </si>
  <si>
    <t>若一王子神社社叢</t>
  </si>
  <si>
    <t>約３００本のスギと約１３０本のヒノキを主体にした、指定区域面積１７，１８６．４㎡の社叢である。平坦地においてこれだけの面積の針葉樹林が見られるのは珍しく貴重である。</t>
  </si>
  <si>
    <t>仁科神明宮の社叢</t>
  </si>
  <si>
    <t>国宝仁科神明宮を囲むスギ・ヒノキを主体とした、指定区域面積１９，２５７．７８㎡の社叢である。境内入口にある三本杉（現在中央１本を失っている）や国宝本殿の西側にあるスギは目通り周囲５ｍ、樹高５０ｍを越える巨木で、これらに加え境内には幹囲２ｍをこえるスギ２０数本、ヒノキ１０数本が生育し古い歴史を物語っている。</t>
  </si>
  <si>
    <t>居谷里湿原</t>
  </si>
  <si>
    <t>この湿原の状態は、ミズゴケのよく育ったところもあり、泥炭層の発達したところもあって、必ずしも一様ではない。湿原内にはモウセンゴケやミミカキグサ・タヌキモなどの多種の食虫植物のほか、ハンノキ・ミヤマウメモドキ・イソノキなどの木本と、ミズバショウ･リュウキンカ・ミツガシワなどの草本等、湿原特有の植物が見られる。また、県内では珍しい暖地性のハチョウトンボの生息地であり、ハナノキの隔離分布として学術上貴重な湿原である。指定区域面積は、２０，９０２㎡。</t>
  </si>
  <si>
    <t>大町市のカワシンジュガイ生息地</t>
  </si>
  <si>
    <t>北緯４０～５５度の範囲に分布する純北方系の淡水性二枚貝。氷河期には多く生息していたが、その終わりとともに高冷地の渓流にのみ姿を残すようになった｢生きた化石｣とも言える貴重な生物。中部農具川（平２０６７７番地２先から１５６３７番地１先まで）と居谷里沢（大町８２６７番地１１先から８１９４番地先まで）の生息地２箇所を地域指定。</t>
  </si>
  <si>
    <t>ミヤマモンキチョウ　　Ｓ５０．２．２４</t>
  </si>
  <si>
    <t>動物・高山蝶</t>
  </si>
  <si>
    <t>ヤリガタケシジミ　　　　Ｓ５０．２．２４</t>
  </si>
  <si>
    <t>タカネキマダラセセリ　Ｓ５０．２．２４</t>
  </si>
  <si>
    <t>クモマツマキチョウ　　Ｓ５０．２．２４</t>
  </si>
  <si>
    <t>タカネヒカゲ　　　　　　Ｓ５０．２．２４</t>
  </si>
  <si>
    <t>クモマベニヒカゲ　　　　Ｓ５０．２．２４</t>
  </si>
  <si>
    <t>コヒオドシ　　　　　　　　Ｓ５０．２．２４</t>
  </si>
  <si>
    <t>オオイチモンジ　　　　　Ｓ５０．２．２４</t>
  </si>
  <si>
    <t>ベニヒカゲ　　　　　　　Ｓ５０．２．２４</t>
  </si>
  <si>
    <t>ホンドオコジョ　　　　　Ｓ５０．１１．４</t>
  </si>
  <si>
    <t>ホンシュウモモンガ　　Ｓ５０．１１．４</t>
  </si>
  <si>
    <r>
      <t>[</t>
    </r>
    <r>
      <rPr>
        <b/>
        <sz val="9"/>
        <color theme="1"/>
        <rFont val="ＭＳ Ｐゴシック"/>
        <family val="3"/>
        <charset val="128"/>
      </rPr>
      <t>　大町市有形文化財　</t>
    </r>
    <r>
      <rPr>
        <b/>
        <sz val="9"/>
        <color theme="1"/>
        <rFont val="ＭＳ 明朝"/>
        <family val="1"/>
        <charset val="128"/>
      </rPr>
      <t>]</t>
    </r>
  </si>
  <si>
    <t>広形銅戈（海ノ口上諏訪社）</t>
  </si>
  <si>
    <t>平１４５０５番地</t>
  </si>
  <si>
    <t>出土地等は明らかではないが、糸魚川地方または小谷村と推定されている。全長２４．５㎝。銅戈は北九州から近畿地方に分布しているが中部地方以北の出土は稀で、弥生文化の伝播を知る貴重な資料である。大町市文化財センター保管。</t>
  </si>
  <si>
    <t>盛蓮寺木造不動明王立像</t>
  </si>
  <si>
    <t>腰をひねるようにして右足に体重をのせて岩座に立つ。半眼半開、二牙を上下交互にあらわしている。右肩にたれる髪の一部・左臂・裙に傷が見られる他はほぼ完全であるが、右手に構える剣を失っている。鎌倉時代末の製作で台座･光背は後の時代に補っている。総丈９８㎝・仏丈６５㎝・岩座１５．５㎝。</t>
  </si>
  <si>
    <t>盛蓮寺木造薬師如来坐像</t>
  </si>
  <si>
    <r>
      <t>室町時代前半の文安４年</t>
    </r>
    <r>
      <rPr>
        <sz val="9"/>
        <color theme="1"/>
        <rFont val="ＭＳ 明朝"/>
        <family val="1"/>
        <charset val="128"/>
      </rPr>
      <t>(</t>
    </r>
    <r>
      <rPr>
        <sz val="9"/>
        <color theme="1"/>
        <rFont val="ＭＳ Ｐゴシック"/>
        <family val="3"/>
        <charset val="128"/>
      </rPr>
      <t>１４４７</t>
    </r>
    <r>
      <rPr>
        <sz val="9"/>
        <color theme="1"/>
        <rFont val="ＭＳ 明朝"/>
        <family val="1"/>
        <charset val="128"/>
      </rPr>
      <t>)</t>
    </r>
    <r>
      <rPr>
        <sz val="9"/>
        <color theme="1"/>
        <rFont val="ＭＳ Ｐゴシック"/>
        <family val="3"/>
        <charset val="128"/>
      </rPr>
      <t>に製作された檜材の小像である。小さいながら作風は大まかにゆったりとしており大きな感じをあらわしている。本像の胎内に「文安第四丁目卯三月廿四日　願主</t>
    </r>
    <r>
      <rPr>
        <sz val="9"/>
        <color theme="1"/>
        <rFont val="ＭＳ 明朝"/>
        <family val="1"/>
        <charset val="128"/>
      </rPr>
      <t xml:space="preserve"> </t>
    </r>
    <r>
      <rPr>
        <sz val="9"/>
        <color theme="1"/>
        <rFont val="ＭＳ Ｐゴシック"/>
        <family val="3"/>
        <charset val="128"/>
      </rPr>
      <t>喜香叟」の墨書銘がある。台座･光背･両手首･薬壺等を失っている。</t>
    </r>
  </si>
  <si>
    <t>大沢寺木造阿弥陀如来立像</t>
  </si>
  <si>
    <t>大町４１５６番地</t>
  </si>
  <si>
    <t>檜材・寄木造。全高７８㎝。後補を繰り返していると思われ、躰部は室町時代末～桃山時代。頭部は古く平安時代の藤原様式が伺える。形状は整い均整がとれている。仁科氏の旧臣であった松村市左衛門の拝仏堂に安置されていたと伝えられる。</t>
  </si>
  <si>
    <t>西正院木造大姥尊坐像</t>
  </si>
  <si>
    <t>檜材・寄木造。像高３９．５㎝。頭に白布をかぶり、ゆったりとした単衣をまとい、帯を前に結び右脚を立てて坐った老婆の姿の像で、写実性に富み、量感も豊かな室町時代中期の作。台座を失っている。当地における山岳信仰の一面を伝える証左として貴重。</t>
  </si>
  <si>
    <t>天正寺山門</t>
  </si>
  <si>
    <t>大町４７３０番地１</t>
  </si>
  <si>
    <r>
      <t>装飾的な要素がほとんど無い、純粋な和様の薬医門である。元禄元年</t>
    </r>
    <r>
      <rPr>
        <sz val="9"/>
        <color theme="1"/>
        <rFont val="ＭＳ 明朝"/>
        <family val="1"/>
        <charset val="128"/>
      </rPr>
      <t>(</t>
    </r>
    <r>
      <rPr>
        <sz val="9"/>
        <color theme="1"/>
        <rFont val="ＭＳ Ｐゴシック"/>
        <family val="3"/>
        <charset val="128"/>
      </rPr>
      <t>１６８８</t>
    </r>
    <r>
      <rPr>
        <sz val="9"/>
        <color theme="1"/>
        <rFont val="ＭＳ 明朝"/>
        <family val="1"/>
        <charset val="128"/>
      </rPr>
      <t>)</t>
    </r>
    <r>
      <rPr>
        <sz val="9"/>
        <color theme="1"/>
        <rFont val="ＭＳ Ｐゴシック"/>
        <family val="3"/>
        <charset val="128"/>
      </rPr>
      <t>の建立で宝暦１０年</t>
    </r>
    <r>
      <rPr>
        <sz val="9"/>
        <color theme="1"/>
        <rFont val="ＭＳ 明朝"/>
        <family val="1"/>
        <charset val="128"/>
      </rPr>
      <t>(</t>
    </r>
    <r>
      <rPr>
        <sz val="9"/>
        <color theme="1"/>
        <rFont val="ＭＳ Ｐゴシック"/>
        <family val="3"/>
        <charset val="128"/>
      </rPr>
      <t>１７６０</t>
    </r>
    <r>
      <rPr>
        <sz val="9"/>
        <color theme="1"/>
        <rFont val="ＭＳ 明朝"/>
        <family val="1"/>
        <charset val="128"/>
      </rPr>
      <t>)</t>
    </r>
    <r>
      <rPr>
        <sz val="9"/>
        <color theme="1"/>
        <rFont val="ＭＳ Ｐゴシック"/>
        <family val="3"/>
        <charset val="128"/>
      </rPr>
      <t>に修理しているが、柱から梁間は建立当時のままと思われる。禅寺にふさわしい簡素な山門で、江戸時代中期の数少ない建造物である。</t>
    </r>
  </si>
  <si>
    <t>長性院木造聖観世音菩薩立像</t>
  </si>
  <si>
    <t>大町３６８２番地４</t>
  </si>
  <si>
    <t>檜材･寄木造。総高１８４．３㎝、像高１０７㎝。弾誓寺６世木食山居による江戸時代中期の作。背面下部に「万躰之内　木食山居作」の墨書銘がある。木食山居の数多い仏像の中でも、最も円熟した時期における大型で入念な作品である。</t>
  </si>
  <si>
    <t>盛蓮寺木造如意輪観音坐像</t>
  </si>
  <si>
    <r>
      <t>檜材･寄木造。像高７７．６㎝。後補の著しい像であるが、左膝の後部は造像当初のもので、鎌倉時代後期の像容がみられる。享保３年</t>
    </r>
    <r>
      <rPr>
        <sz val="9"/>
        <color theme="1"/>
        <rFont val="ＭＳ 明朝"/>
        <family val="1"/>
        <charset val="128"/>
      </rPr>
      <t>(</t>
    </r>
    <r>
      <rPr>
        <sz val="9"/>
        <color theme="1"/>
        <rFont val="ＭＳ Ｐゴシック"/>
        <family val="3"/>
        <charset val="128"/>
      </rPr>
      <t>１７１８</t>
    </r>
    <r>
      <rPr>
        <sz val="9"/>
        <color theme="1"/>
        <rFont val="ＭＳ 明朝"/>
        <family val="1"/>
        <charset val="128"/>
      </rPr>
      <t>)</t>
    </r>
    <r>
      <rPr>
        <sz val="9"/>
        <color theme="1"/>
        <rFont val="ＭＳ Ｐゴシック"/>
        <family val="3"/>
        <charset val="128"/>
      </rPr>
      <t>に修理したことを伝える朱漆銘が光背裏にある。一般的な如意輪観音の印相と左右逆になっている。</t>
    </r>
  </si>
  <si>
    <t>木舟薬師堂木造薬師如来立像</t>
  </si>
  <si>
    <r>
      <t>檜材･寄木造。総高１２２．８㎝、像高１１３㎝。後補の著しい像であるが、体部と両肩から先の主要部分は造像当初のもので、鎌倉時代後期の写実的な像容が見られる。寛文６年</t>
    </r>
    <r>
      <rPr>
        <sz val="9"/>
        <color theme="1"/>
        <rFont val="ＭＳ 明朝"/>
        <family val="1"/>
        <charset val="128"/>
      </rPr>
      <t>(</t>
    </r>
    <r>
      <rPr>
        <sz val="9"/>
        <color theme="1"/>
        <rFont val="ＭＳ Ｐゴシック"/>
        <family val="3"/>
        <charset val="128"/>
      </rPr>
      <t>１６６６</t>
    </r>
    <r>
      <rPr>
        <sz val="9"/>
        <color theme="1"/>
        <rFont val="ＭＳ 明朝"/>
        <family val="1"/>
        <charset val="128"/>
      </rPr>
      <t>)</t>
    </r>
    <r>
      <rPr>
        <sz val="9"/>
        <color theme="1"/>
        <rFont val="ＭＳ Ｐゴシック"/>
        <family val="3"/>
        <charset val="128"/>
      </rPr>
      <t>に修理したことを伝える木札が残っている。</t>
    </r>
  </si>
  <si>
    <t>弾誓寺観音堂木造伝弾誓上人坐像</t>
  </si>
  <si>
    <t>檜材･寄木造・玉眼嵌入・糊粉下地に彩色を施す。像高７５㎝。像容は衲衣の上に袈裟をまとい、趺坐して合掌する姿である。およそ江戸時代１７世紀中頃の作。地方色でありながら彫技の冴えのみられる完成度の高い作品である。本像は江戸時代前期の常念仏盛行の時代を看取れる貴重な文化財である。</t>
  </si>
  <si>
    <t>弾誓寺観音堂木造伝長音上人坐像</t>
  </si>
  <si>
    <r>
      <t>檜材･寄木造・玉眼嵌入・糊粉下地に彩色を施す。像高７８㎝。像容は衲衣の上に袈裟をまとい、趺坐して両手で数珠を持つかと見られる姿である。胎内の胸部及び背部の２ヵ所に墨書銘が記されている。江戸時代中期の元禄１３年</t>
    </r>
    <r>
      <rPr>
        <sz val="9"/>
        <color theme="1"/>
        <rFont val="ＭＳ 明朝"/>
        <family val="1"/>
        <charset val="128"/>
      </rPr>
      <t>(</t>
    </r>
    <r>
      <rPr>
        <sz val="9"/>
        <color theme="1"/>
        <rFont val="ＭＳ Ｐゴシック"/>
        <family val="3"/>
        <charset val="128"/>
      </rPr>
      <t>１７００</t>
    </r>
    <r>
      <rPr>
        <sz val="9"/>
        <color theme="1"/>
        <rFont val="ＭＳ 明朝"/>
        <family val="1"/>
        <charset val="128"/>
      </rPr>
      <t>)</t>
    </r>
    <r>
      <rPr>
        <sz val="9"/>
        <color theme="1"/>
        <rFont val="ＭＳ Ｐゴシック"/>
        <family val="3"/>
        <charset val="128"/>
      </rPr>
      <t>製作。弾誓寺４世願誉岳空寂阿野造像。本格的な彫技を用いた貴重な作品である。</t>
    </r>
  </si>
  <si>
    <t>盛蓮寺木造虚空蔵菩薩坐像</t>
  </si>
  <si>
    <t>社２９３７番地</t>
  </si>
  <si>
    <t>桂材・寄木造。像高２４．１㎝。製作は室町時代前半と考えられる。台座・光背･持物･彩色等は江戸時代後期に補われたもの。虚空蔵菩薩像は県下において室町時代前半に遡る類例が少なく、真言密教及び修験道の信州への伝播を示す貴重な仏像である。</t>
  </si>
  <si>
    <t>天正寺木造薬師如来立像</t>
  </si>
  <si>
    <r>
      <t>檜材･寄木造。像高２６１㎝。胎内に打ち付けられた木札の墨書銘から、造仏を修行とする作仏聖「生誉蓮入比丘」により、延宝５年</t>
    </r>
    <r>
      <rPr>
        <sz val="9"/>
        <color theme="1"/>
        <rFont val="ＭＳ 明朝"/>
        <family val="1"/>
        <charset val="128"/>
      </rPr>
      <t>(</t>
    </r>
    <r>
      <rPr>
        <sz val="9"/>
        <color theme="1"/>
        <rFont val="ＭＳ Ｐゴシック"/>
        <family val="3"/>
        <charset val="128"/>
      </rPr>
      <t>１６７７</t>
    </r>
    <r>
      <rPr>
        <sz val="9"/>
        <color theme="1"/>
        <rFont val="ＭＳ 明朝"/>
        <family val="1"/>
        <charset val="128"/>
      </rPr>
      <t>)</t>
    </r>
    <r>
      <rPr>
        <sz val="9"/>
        <color theme="1"/>
        <rFont val="ＭＳ Ｐゴシック"/>
        <family val="3"/>
        <charset val="128"/>
      </rPr>
      <t>５月に造立されたことがわかる。かなりの巨大像であり、しかも丁寧に仕上げられている点で文化的価値が高い。</t>
    </r>
  </si>
  <si>
    <r>
      <t>嘉永５年</t>
    </r>
    <r>
      <rPr>
        <sz val="9"/>
        <color theme="1"/>
        <rFont val="ＭＳ 明朝"/>
        <family val="1"/>
        <charset val="128"/>
      </rPr>
      <t>(</t>
    </r>
    <r>
      <rPr>
        <sz val="9"/>
        <color theme="1"/>
        <rFont val="ＭＳ Ｐゴシック"/>
        <family val="3"/>
        <charset val="128"/>
      </rPr>
      <t>１８５２</t>
    </r>
    <r>
      <rPr>
        <sz val="9"/>
        <color theme="1"/>
        <rFont val="ＭＳ 明朝"/>
        <family val="1"/>
        <charset val="128"/>
      </rPr>
      <t>)</t>
    </r>
    <r>
      <rPr>
        <sz val="9"/>
        <color theme="1"/>
        <rFont val="ＭＳ Ｐゴシック"/>
        <family val="3"/>
        <charset val="128"/>
      </rPr>
      <t>に高遠の石工によって彫られた石像で、大黒町の名の由来ともなっている。現在のところ松本平では最大（全長約１．７ｍ）にして最古のもので、彫刻技術も優れている。造立の由来を記した趣意書の版木も残っており、版木は附属指定。</t>
    </r>
  </si>
  <si>
    <t>山寺廃寺跡出土遺物</t>
  </si>
  <si>
    <t>写経石（法華経の一部が石に墨で書かれたもの）１、灰釉小皿１の２点。県宝指定されている｢山寺廃寺跡出土品｣と同じ社閏田の山寺廃寺跡から出土したものであるが、表面採集されたもので出土状況は明確でない。大町市民俗資料館保管。</t>
  </si>
  <si>
    <t>若一王子神社木造伝十一面観音菩薩立像</t>
  </si>
  <si>
    <r>
      <t>檜材･寄木造。推定像高１８０㎝。１１世紀の製作。台座・光背･瓔珞</t>
    </r>
    <r>
      <rPr>
        <sz val="9"/>
        <color theme="1"/>
        <rFont val="ＭＳ 明朝"/>
        <family val="1"/>
        <charset val="128"/>
      </rPr>
      <t>(</t>
    </r>
    <r>
      <rPr>
        <sz val="9"/>
        <color theme="1"/>
        <rFont val="ＭＳ Ｐゴシック"/>
        <family val="3"/>
        <charset val="128"/>
      </rPr>
      <t>ようらく</t>
    </r>
    <r>
      <rPr>
        <sz val="9"/>
        <color theme="1"/>
        <rFont val="ＭＳ 明朝"/>
        <family val="1"/>
        <charset val="128"/>
      </rPr>
      <t>)</t>
    </r>
    <r>
      <rPr>
        <sz val="9"/>
        <color theme="1"/>
        <rFont val="ＭＳ Ｐゴシック"/>
        <family val="3"/>
        <charset val="128"/>
      </rPr>
      <t>の残闕</t>
    </r>
    <r>
      <rPr>
        <sz val="9"/>
        <color theme="1"/>
        <rFont val="ＭＳ 明朝"/>
        <family val="1"/>
        <charset val="128"/>
      </rPr>
      <t>(</t>
    </r>
    <r>
      <rPr>
        <sz val="9"/>
        <color theme="1"/>
        <rFont val="ＭＳ Ｐゴシック"/>
        <family val="3"/>
        <charset val="128"/>
      </rPr>
      <t>ざんけつ</t>
    </r>
    <r>
      <rPr>
        <sz val="9"/>
        <color theme="1"/>
        <rFont val="ＭＳ 明朝"/>
        <family val="1"/>
        <charset val="128"/>
      </rPr>
      <t>)</t>
    </r>
    <r>
      <rPr>
        <sz val="9"/>
        <color theme="1"/>
        <rFont val="ＭＳ Ｐゴシック"/>
        <family val="3"/>
        <charset val="128"/>
      </rPr>
      <t>は江戸時代の後補。明治時代の初めに燃やされて躰部が大きく損傷を受けているが、若一王子神社の本地仏で観音堂の本尊であったと考えられ、神社の歴史を知る資料として貴重である。</t>
    </r>
  </si>
  <si>
    <t>仁科神明宮銅製日岐盛貞奉納鏡</t>
  </si>
  <si>
    <r>
      <t>円形、直径２７．４㎝。鏡背には五大明王、奉納者名、紀年銘などが記されている。この鏡は江戸時代寛永１３年</t>
    </r>
    <r>
      <rPr>
        <sz val="9"/>
        <color theme="1"/>
        <rFont val="ＭＳ 明朝"/>
        <family val="1"/>
        <charset val="128"/>
      </rPr>
      <t>(</t>
    </r>
    <r>
      <rPr>
        <sz val="9"/>
        <color theme="1"/>
        <rFont val="ＭＳ Ｐゴシック"/>
        <family val="3"/>
        <charset val="128"/>
      </rPr>
      <t>１６３６</t>
    </r>
    <r>
      <rPr>
        <sz val="9"/>
        <color theme="1"/>
        <rFont val="ＭＳ 明朝"/>
        <family val="1"/>
        <charset val="128"/>
      </rPr>
      <t>)</t>
    </r>
    <r>
      <rPr>
        <sz val="9"/>
        <color theme="1"/>
        <rFont val="ＭＳ Ｐゴシック"/>
        <family val="3"/>
        <charset val="128"/>
      </rPr>
      <t>の仁科神明宮式年造営の時に日岐盛貞によって奉納されたもので実用品ではない。</t>
    </r>
  </si>
  <si>
    <t>仁科神明宮木造棟札</t>
  </si>
  <si>
    <r>
      <t>国の重要文化財に指定されている室町時代</t>
    </r>
    <r>
      <rPr>
        <sz val="9"/>
        <color theme="1"/>
        <rFont val="ＭＳ 明朝"/>
        <family val="1"/>
        <charset val="128"/>
      </rPr>
      <t>(</t>
    </r>
    <r>
      <rPr>
        <sz val="9"/>
        <color theme="1"/>
        <rFont val="ＭＳ Ｐゴシック"/>
        <family val="3"/>
        <charset val="128"/>
      </rPr>
      <t>１３７６</t>
    </r>
    <r>
      <rPr>
        <sz val="9"/>
        <color theme="1"/>
        <rFont val="ＭＳ 明朝"/>
        <family val="1"/>
        <charset val="128"/>
      </rPr>
      <t>)</t>
    </r>
    <r>
      <rPr>
        <sz val="9"/>
        <color theme="1"/>
        <rFont val="ＭＳ Ｐゴシック"/>
        <family val="3"/>
        <charset val="128"/>
      </rPr>
      <t>～江戸時代末期</t>
    </r>
    <r>
      <rPr>
        <sz val="9"/>
        <color theme="1"/>
        <rFont val="ＭＳ 明朝"/>
        <family val="1"/>
        <charset val="128"/>
      </rPr>
      <t>(</t>
    </r>
    <r>
      <rPr>
        <sz val="9"/>
        <color theme="1"/>
        <rFont val="ＭＳ Ｐゴシック"/>
        <family val="3"/>
        <charset val="128"/>
      </rPr>
      <t>１８５６</t>
    </r>
    <r>
      <rPr>
        <sz val="9"/>
        <color theme="1"/>
        <rFont val="ＭＳ 明朝"/>
        <family val="1"/>
        <charset val="128"/>
      </rPr>
      <t>)</t>
    </r>
    <r>
      <rPr>
        <sz val="9"/>
        <color theme="1"/>
        <rFont val="ＭＳ Ｐゴシック"/>
        <family val="3"/>
        <charset val="128"/>
      </rPr>
      <t>の２７枚の棟札に続く明治時代～昭和時代の棟札６枚。仁科神明宮で２０年に一度行われる式年造営の歴史を明らかにできる資料である。</t>
    </r>
  </si>
  <si>
    <t>仁科神明宮木造小笠原秀政禁制札</t>
  </si>
  <si>
    <r>
      <t>江戸時代初期の慶長１９年</t>
    </r>
    <r>
      <rPr>
        <sz val="9"/>
        <color theme="1"/>
        <rFont val="ＭＳ 明朝"/>
        <family val="1"/>
        <charset val="128"/>
      </rPr>
      <t>(</t>
    </r>
    <r>
      <rPr>
        <sz val="9"/>
        <color theme="1"/>
        <rFont val="ＭＳ Ｐゴシック"/>
        <family val="3"/>
        <charset val="128"/>
      </rPr>
      <t>１６１４</t>
    </r>
    <r>
      <rPr>
        <sz val="9"/>
        <color theme="1"/>
        <rFont val="ＭＳ 明朝"/>
        <family val="1"/>
        <charset val="128"/>
      </rPr>
      <t>)</t>
    </r>
    <r>
      <rPr>
        <sz val="9"/>
        <color theme="1"/>
        <rFont val="ＭＳ Ｐゴシック"/>
        <family val="3"/>
        <charset val="128"/>
      </rPr>
      <t>に松本領主小笠原秀政が、領内の主要な社寺に対してその保護を目的として交付したものの一枚である。檜板に墨で禁制文が書かれた縦３４㎝、横６１．３㎝の高札である。</t>
    </r>
  </si>
  <si>
    <t>山下神社木造小笠原秀政禁制札</t>
  </si>
  <si>
    <t>社６０９７番地</t>
  </si>
  <si>
    <r>
      <t>小笠原秀政が領民掌握のために社寺境内に交付した禁制札である。慶長１９年</t>
    </r>
    <r>
      <rPr>
        <sz val="9"/>
        <color theme="1"/>
        <rFont val="ＭＳ 明朝"/>
        <family val="1"/>
        <charset val="128"/>
      </rPr>
      <t>(</t>
    </r>
    <r>
      <rPr>
        <sz val="9"/>
        <color theme="1"/>
        <rFont val="ＭＳ Ｐゴシック"/>
        <family val="3"/>
        <charset val="128"/>
      </rPr>
      <t>１６１４</t>
    </r>
    <r>
      <rPr>
        <sz val="9"/>
        <color theme="1"/>
        <rFont val="ＭＳ 明朝"/>
        <family val="1"/>
        <charset val="128"/>
      </rPr>
      <t>)</t>
    </r>
    <r>
      <rPr>
        <sz val="9"/>
        <color theme="1"/>
        <rFont val="ＭＳ Ｐゴシック"/>
        <family val="3"/>
        <charset val="128"/>
      </rPr>
      <t>５月１５日の墨書銘が残る。高札上部には屋根形の桟があった痕跡が残るが、現在は失われている。法量は最大高３３．８㎝、最大幅５９．０㎝。</t>
    </r>
  </si>
  <si>
    <t>八坂神社の旧神輿</t>
  </si>
  <si>
    <t>｢天王様の神輿｣として市民に親しまれた神輿は、戦後しばらくまで７月１５日の八坂神社例祭時に巡行されたものである。江戸中期１８世紀初頭の製作とされ、若一王子神社観音堂宮殿などを建立した大町の宮大工金原一門の手になったものと推定される。</t>
  </si>
  <si>
    <t>｢信越連帯新道｣関係史料及びカネジョウ飯嶋家文書一括</t>
  </si>
  <si>
    <t>江戸時代末期から明治初年にかけての野口村庄屋文書を中核とする。この中で注目されるのが信州内陸部と北陸沿岸部を結んだ交流最短路である「信越連帯新道」開削の関係史料である。指定数は、古文書類６２８点、その他看板等の史料８４点を数える。大町市文化財センターほか保管。</t>
  </si>
  <si>
    <t>八日町毘沙門堂の木造毘沙門天立像</t>
  </si>
  <si>
    <t>仏像の総高１６８㎝、仏高１１４㎝、台座高４０㎝を測る。製作年代は頭部檜材が鎌倉時代、躰部が江戸時代初期、台座が江戸時代中期と補作が見られる。かつては右手に戟を持ち、左手に宝塔を掲げていたが、現在は欠失している。</t>
  </si>
  <si>
    <t>ヤマク西澤家文書一括</t>
  </si>
  <si>
    <r>
      <t>西澤家文書には江戸時代初期の庄屋関係文書と江戸時代末期の大庄屋関係文書とが含まれている。指定された古文書類は、慶長１６年</t>
    </r>
    <r>
      <rPr>
        <sz val="9"/>
        <color theme="1"/>
        <rFont val="ＭＳ 明朝"/>
        <family val="1"/>
        <charset val="128"/>
      </rPr>
      <t>(</t>
    </r>
    <r>
      <rPr>
        <sz val="9"/>
        <color theme="1"/>
        <rFont val="ＭＳ Ｐゴシック"/>
        <family val="3"/>
        <charset val="128"/>
      </rPr>
      <t>１６１１</t>
    </r>
    <r>
      <rPr>
        <sz val="9"/>
        <color theme="1"/>
        <rFont val="ＭＳ 明朝"/>
        <family val="1"/>
        <charset val="128"/>
      </rPr>
      <t>)</t>
    </r>
    <r>
      <rPr>
        <sz val="9"/>
        <color theme="1"/>
        <rFont val="ＭＳ Ｐゴシック"/>
        <family val="3"/>
        <charset val="128"/>
      </rPr>
      <t>年～明治２５年</t>
    </r>
    <r>
      <rPr>
        <sz val="9"/>
        <color theme="1"/>
        <rFont val="ＭＳ 明朝"/>
        <family val="1"/>
        <charset val="128"/>
      </rPr>
      <t>(</t>
    </r>
    <r>
      <rPr>
        <sz val="9"/>
        <color theme="1"/>
        <rFont val="ＭＳ Ｐゴシック"/>
        <family val="3"/>
        <charset val="128"/>
      </rPr>
      <t>１８９２</t>
    </r>
    <r>
      <rPr>
        <sz val="9"/>
        <color theme="1"/>
        <rFont val="ＭＳ 明朝"/>
        <family val="1"/>
        <charset val="128"/>
      </rPr>
      <t>)</t>
    </r>
    <r>
      <rPr>
        <sz val="9"/>
        <color theme="1"/>
        <rFont val="ＭＳ Ｐゴシック"/>
        <family val="3"/>
        <charset val="128"/>
      </rPr>
      <t>におよぶ２５８点、その他の史料１点を含む。大町市文化財センター保管。</t>
    </r>
  </si>
  <si>
    <t>ワチガイ栗林家文書一括</t>
  </si>
  <si>
    <t>栗林家は江戸時代初期から村役を勤め、少なくとも享保年間から大町組の庄屋・大庄屋を勤めた家柄である。今回指定された文書の内容は、庄屋という役目上から関与した法令・藩制村制・租税・土地・林野・戸口・農林業・醸造・水利・土建・治安・宗教・凶災・救恤・身分・絵図等々の農政に関する文書と、大町の宿場に関わる交通・宿駅・運輸・通信・商業・都市等々の分野の古文書を包括して、極めて多彩である。大町市文化財センター保管。</t>
  </si>
  <si>
    <t>ハチイチ高橋家文書一括</t>
  </si>
  <si>
    <r>
      <t>高橋家は大庄屋格を受け、江戸期を通じて松崎村庄屋、閏田村庄屋を兼務した家柄である。所蔵文書には、長年勤めた村方文書を主とする租税関係や用水堰普請などのほか、地域の特産である莨の栽培・出荷関係であるとか、家業の酒造関係文書がある。特出すべきものとして、文政８年</t>
    </r>
    <r>
      <rPr>
        <sz val="9"/>
        <color theme="1"/>
        <rFont val="ＭＳ 明朝"/>
        <family val="1"/>
        <charset val="128"/>
      </rPr>
      <t>(</t>
    </r>
    <r>
      <rPr>
        <sz val="9"/>
        <color theme="1"/>
        <rFont val="ＭＳ Ｐゴシック"/>
        <family val="3"/>
        <charset val="128"/>
      </rPr>
      <t>１８２５</t>
    </r>
    <r>
      <rPr>
        <sz val="9"/>
        <color theme="1"/>
        <rFont val="ＭＳ 明朝"/>
        <family val="1"/>
        <charset val="128"/>
      </rPr>
      <t>)</t>
    </r>
    <r>
      <rPr>
        <sz val="9"/>
        <color theme="1"/>
        <rFont val="ＭＳ Ｐゴシック"/>
        <family val="3"/>
        <charset val="128"/>
      </rPr>
      <t>に当地で発生した赤蓑騒動の見聞を記した六角鬼洞による『赤蓑騒動』は唯一の現存本として大変貴重なもの。大町市文化財センターほか保管。</t>
    </r>
  </si>
  <si>
    <t>生婦平出土銅造瑞花双鳥八稜鏡</t>
  </si>
  <si>
    <t>八坂１１０８番地１　八坂支所</t>
  </si>
  <si>
    <t>八坂大平生婦平で昭和４０年代に出土。直径１１．７㎝、縁高０．７㎝、鏡厚０．３㎝を測る。制作年代は平安時代後期と考えられる。花弁を摸した八稜縁に双鳥や花文が施される唐式鏡から和鏡への過渡期を示す。</t>
  </si>
  <si>
    <t>大平地蔵堂の木造地蔵菩薩立像</t>
  </si>
  <si>
    <t>八坂１２９８番地</t>
  </si>
  <si>
    <r>
      <t>像の制作年代は南北朝時代</t>
    </r>
    <r>
      <rPr>
        <sz val="9"/>
        <color theme="1"/>
        <rFont val="ＭＳ 明朝"/>
        <family val="1"/>
        <charset val="128"/>
      </rPr>
      <t>(</t>
    </r>
    <r>
      <rPr>
        <sz val="9"/>
        <color theme="1"/>
        <rFont val="ＭＳ Ｐゴシック"/>
        <family val="3"/>
        <charset val="128"/>
      </rPr>
      <t>１４世紀前半</t>
    </r>
    <r>
      <rPr>
        <sz val="9"/>
        <color theme="1"/>
        <rFont val="ＭＳ 明朝"/>
        <family val="1"/>
        <charset val="128"/>
      </rPr>
      <t>)</t>
    </r>
    <r>
      <rPr>
        <sz val="9"/>
        <color theme="1"/>
        <rFont val="ＭＳ Ｐゴシック"/>
        <family val="3"/>
        <charset val="128"/>
      </rPr>
      <t>、檜材・寄木造で玉眼を嵌入する。全身に彩色を施しており、像高は３６．５㎝、頭長は７．１㎝を測る。中央の仏師の作と考えられる像である。</t>
    </r>
  </si>
  <si>
    <t>小松尾諏訪神社本殿</t>
  </si>
  <si>
    <r>
      <t>江戸時代後期の文化１３年</t>
    </r>
    <r>
      <rPr>
        <sz val="9"/>
        <color theme="1"/>
        <rFont val="ＭＳ 明朝"/>
        <family val="1"/>
        <charset val="128"/>
      </rPr>
      <t>(</t>
    </r>
    <r>
      <rPr>
        <sz val="9"/>
        <color theme="1"/>
        <rFont val="ＭＳ Ｐゴシック"/>
        <family val="3"/>
        <charset val="128"/>
      </rPr>
      <t>１８１６</t>
    </r>
    <r>
      <rPr>
        <sz val="9"/>
        <color theme="1"/>
        <rFont val="ＭＳ 明朝"/>
        <family val="1"/>
        <charset val="128"/>
      </rPr>
      <t>)</t>
    </r>
    <r>
      <rPr>
        <sz val="9"/>
        <color theme="1"/>
        <rFont val="ＭＳ Ｐゴシック"/>
        <family val="3"/>
        <charset val="128"/>
      </rPr>
      <t>の建造。一間社・流造りで、向拝軒唐破風付、柿葺、総檜造りである。大工は大町組の金原周蔵で、彫刻は浅川豊八（大隈流）による。彫刻は優れ、丸彫りの唐獅子、象鼻や雲に麒麟の透彫りが残される。神社祭神は健御名方命。麻田家に建立に関する由緒書が残っている。</t>
    </r>
  </si>
  <si>
    <t>野平神社本殿</t>
  </si>
  <si>
    <r>
      <t>祭神は天照大神（明神）、健御名命（諏訪）、誉田別命（八幡）の三神を祀り、江戸時代前期の元和５年</t>
    </r>
    <r>
      <rPr>
        <sz val="9"/>
        <color theme="1"/>
        <rFont val="ＭＳ 明朝"/>
        <family val="1"/>
        <charset val="128"/>
      </rPr>
      <t>(</t>
    </r>
    <r>
      <rPr>
        <sz val="9"/>
        <color theme="1"/>
        <rFont val="ＭＳ Ｐゴシック"/>
        <family val="3"/>
        <charset val="128"/>
      </rPr>
      <t>１６１９</t>
    </r>
    <r>
      <rPr>
        <sz val="9"/>
        <color theme="1"/>
        <rFont val="ＭＳ 明朝"/>
        <family val="1"/>
        <charset val="128"/>
      </rPr>
      <t>)</t>
    </r>
    <r>
      <rPr>
        <sz val="9"/>
        <color theme="1"/>
        <rFont val="ＭＳ Ｐゴシック"/>
        <family val="3"/>
        <charset val="128"/>
      </rPr>
      <t>８月１０日の勧請と言われる。本殿は三間社・流造り、柿葺き、総檜造りである。現社殿は江戸後期の再建であり、白木彫刻に優れている。大工は大町の曽根原甚五郎、越後石地宿又四郎、仁熊村（麻績組）大工。</t>
    </r>
  </si>
  <si>
    <t>矢田川磨崖仏</t>
  </si>
  <si>
    <r>
      <t>高さ約６ｍ、幅約４ｍの砂岩製岩塊に、約２００年にわたって５つの彫刻が刻まれたものである。年代の古いものから、①青面金剛像（庚申像）が元禄から享保年間、②地蔵菩薩像が江戸中期の享保３</t>
    </r>
    <r>
      <rPr>
        <sz val="9"/>
        <color theme="1"/>
        <rFont val="ＭＳ 明朝"/>
        <family val="1"/>
        <charset val="128"/>
      </rPr>
      <t>(</t>
    </r>
    <r>
      <rPr>
        <sz val="9"/>
        <color theme="1"/>
        <rFont val="ＭＳ Ｐゴシック"/>
        <family val="3"/>
        <charset val="128"/>
      </rPr>
      <t>１７１８</t>
    </r>
    <r>
      <rPr>
        <sz val="9"/>
        <color theme="1"/>
        <rFont val="ＭＳ 明朝"/>
        <family val="1"/>
        <charset val="128"/>
      </rPr>
      <t>)</t>
    </r>
    <r>
      <rPr>
        <sz val="9"/>
        <color theme="1"/>
        <rFont val="ＭＳ Ｐゴシック"/>
        <family val="3"/>
        <charset val="128"/>
      </rPr>
      <t>年、③庚申塔が江戸後期の文化４年</t>
    </r>
    <r>
      <rPr>
        <sz val="9"/>
        <color theme="1"/>
        <rFont val="ＭＳ 明朝"/>
        <family val="1"/>
        <charset val="128"/>
      </rPr>
      <t>(</t>
    </r>
    <r>
      <rPr>
        <sz val="9"/>
        <color theme="1"/>
        <rFont val="ＭＳ Ｐゴシック"/>
        <family val="3"/>
        <charset val="128"/>
      </rPr>
      <t>１８０７</t>
    </r>
    <r>
      <rPr>
        <sz val="9"/>
        <color theme="1"/>
        <rFont val="ＭＳ 明朝"/>
        <family val="1"/>
        <charset val="128"/>
      </rPr>
      <t>)</t>
    </r>
    <r>
      <rPr>
        <sz val="9"/>
        <color theme="1"/>
        <rFont val="ＭＳ Ｐゴシック"/>
        <family val="3"/>
        <charset val="128"/>
      </rPr>
      <t>、④徳本上人名合碑が１９世紀前半、⑤大日如来像が幕末の嘉永３年</t>
    </r>
    <r>
      <rPr>
        <sz val="9"/>
        <color theme="1"/>
        <rFont val="ＭＳ 明朝"/>
        <family val="1"/>
        <charset val="128"/>
      </rPr>
      <t>(</t>
    </r>
    <r>
      <rPr>
        <sz val="9"/>
        <color theme="1"/>
        <rFont val="ＭＳ Ｐゴシック"/>
        <family val="3"/>
        <charset val="128"/>
      </rPr>
      <t>１８５０</t>
    </r>
    <r>
      <rPr>
        <sz val="9"/>
        <color theme="1"/>
        <rFont val="ＭＳ 明朝"/>
        <family val="1"/>
        <charset val="128"/>
      </rPr>
      <t>)</t>
    </r>
    <r>
      <rPr>
        <sz val="9"/>
        <color theme="1"/>
        <rFont val="ＭＳ Ｐゴシック"/>
        <family val="3"/>
        <charset val="128"/>
      </rPr>
      <t>となる。大日如来のお祭は、もとは４月８日に行なわれていたが、現在は５月８日に行なわれている。</t>
    </r>
  </si>
  <si>
    <t>北条峰の徳本上人追善供養塔</t>
  </si>
  <si>
    <t>八坂１３６０９番地ロ－１</t>
  </si>
  <si>
    <r>
      <t>砂岩製で残存する石碑高が１０８㎝、最大幅が８５㎝を測る。碑文には「念仏供養　名蓮社号誉上人称阿弥陀陀佛徳本　文政元年寅年十月六日　徳本行者云々」とある。碑文によると、製作年代は江戸後期の文政元年</t>
    </r>
    <r>
      <rPr>
        <sz val="9"/>
        <color theme="1"/>
        <rFont val="ＭＳ 明朝"/>
        <family val="1"/>
        <charset val="128"/>
      </rPr>
      <t>(</t>
    </r>
    <r>
      <rPr>
        <sz val="9"/>
        <color theme="1"/>
        <rFont val="ＭＳ Ｐゴシック"/>
        <family val="3"/>
        <charset val="128"/>
      </rPr>
      <t>１８１８</t>
    </r>
    <r>
      <rPr>
        <sz val="9"/>
        <color theme="1"/>
        <rFont val="ＭＳ 明朝"/>
        <family val="1"/>
        <charset val="128"/>
      </rPr>
      <t>)</t>
    </r>
    <r>
      <rPr>
        <sz val="9"/>
        <color theme="1"/>
        <rFont val="ＭＳ Ｐゴシック"/>
        <family val="3"/>
        <charset val="128"/>
      </rPr>
      <t>。</t>
    </r>
  </si>
  <si>
    <t>曽山の善光寺千人参り名号塔</t>
  </si>
  <si>
    <r>
      <t>江戸時代後期の弘化２年</t>
    </r>
    <r>
      <rPr>
        <sz val="9"/>
        <color theme="1"/>
        <rFont val="ＭＳ 明朝"/>
        <family val="1"/>
        <charset val="128"/>
      </rPr>
      <t>(</t>
    </r>
    <r>
      <rPr>
        <sz val="9"/>
        <color theme="1"/>
        <rFont val="ＭＳ Ｐゴシック"/>
        <family val="3"/>
        <charset val="128"/>
      </rPr>
      <t>１８４５</t>
    </r>
    <r>
      <rPr>
        <sz val="9"/>
        <color theme="1"/>
        <rFont val="ＭＳ 明朝"/>
        <family val="1"/>
        <charset val="128"/>
      </rPr>
      <t>)</t>
    </r>
    <r>
      <rPr>
        <sz val="9"/>
        <color theme="1"/>
        <rFont val="ＭＳ Ｐゴシック"/>
        <family val="3"/>
        <charset val="128"/>
      </rPr>
      <t>の製作。材質は砂岩製。総高は３２２㎝、そのうち塔身高は２５３㎝を測る。塔身正面は花頭形輪郭を彫り窪め、上部には円輪郭の中に阿弥陀如来、観世音菩薩、勢至菩薩の三体、いわゆる阿弥陀三尊像を半肉彫りしている。その下に「南無阿弥陀佛」と大書する。筆當大勧進権僧正願拜。石工は大平村石原、若林嘉久治勝重と高遠清水八五良安信による。毎年５月３日には講中によるお祭が現在でも行なわれている。平成６年</t>
    </r>
    <r>
      <rPr>
        <sz val="9"/>
        <color theme="1"/>
        <rFont val="ＭＳ 明朝"/>
        <family val="1"/>
        <charset val="128"/>
      </rPr>
      <t>(</t>
    </r>
    <r>
      <rPr>
        <sz val="9"/>
        <color theme="1"/>
        <rFont val="ＭＳ Ｐゴシック"/>
        <family val="3"/>
        <charset val="128"/>
      </rPr>
      <t>１９９４</t>
    </r>
    <r>
      <rPr>
        <sz val="9"/>
        <color theme="1"/>
        <rFont val="ＭＳ 明朝"/>
        <family val="1"/>
        <charset val="128"/>
      </rPr>
      <t>)</t>
    </r>
    <r>
      <rPr>
        <sz val="9"/>
        <color theme="1"/>
        <rFont val="ＭＳ Ｐゴシック"/>
        <family val="3"/>
        <charset val="128"/>
      </rPr>
      <t>に道路工事で現在地に移転されたが、もとは美麻地籍に所在した。</t>
    </r>
  </si>
  <si>
    <t>富士浅間神社本殿</t>
  </si>
  <si>
    <t>美麻２７０８番地</t>
  </si>
  <si>
    <r>
      <t>一間社・流造。規模は間口１間２尺、奥行１間５尺。現社殿は江戸時代後期の文化１２年</t>
    </r>
    <r>
      <rPr>
        <sz val="9"/>
        <color theme="1"/>
        <rFont val="ＭＳ 明朝"/>
        <family val="1"/>
        <charset val="128"/>
      </rPr>
      <t>(</t>
    </r>
    <r>
      <rPr>
        <sz val="9"/>
        <color theme="1"/>
        <rFont val="ＭＳ Ｐゴシック"/>
        <family val="3"/>
        <charset val="128"/>
      </rPr>
      <t>１８１５</t>
    </r>
    <r>
      <rPr>
        <sz val="9"/>
        <color theme="1"/>
        <rFont val="ＭＳ 明朝"/>
        <family val="1"/>
        <charset val="128"/>
      </rPr>
      <t>)</t>
    </r>
    <r>
      <rPr>
        <sz val="9"/>
        <color theme="1"/>
        <rFont val="ＭＳ Ｐゴシック"/>
        <family val="3"/>
        <charset val="128"/>
      </rPr>
      <t>９月１２日に再建されたもので、立川豊八（安曇郡長尾組岩原住）のよる建築。附属指定として棟札３枚がある。</t>
    </r>
  </si>
  <si>
    <t>富士浅間神社楽殿</t>
  </si>
  <si>
    <r>
      <t>江戸時代中期の建立、伝元禄１１年</t>
    </r>
    <r>
      <rPr>
        <sz val="9"/>
        <color theme="1"/>
        <rFont val="ＭＳ 明朝"/>
        <family val="1"/>
        <charset val="128"/>
      </rPr>
      <t>(</t>
    </r>
    <r>
      <rPr>
        <sz val="9"/>
        <color theme="1"/>
        <rFont val="ＭＳ Ｐゴシック"/>
        <family val="3"/>
        <charset val="128"/>
      </rPr>
      <t>１６９８</t>
    </r>
    <r>
      <rPr>
        <sz val="9"/>
        <color theme="1"/>
        <rFont val="ＭＳ 明朝"/>
        <family val="1"/>
        <charset val="128"/>
      </rPr>
      <t>)</t>
    </r>
    <r>
      <rPr>
        <sz val="9"/>
        <color theme="1"/>
        <rFont val="ＭＳ Ｐゴシック"/>
        <family val="3"/>
        <charset val="128"/>
      </rPr>
      <t>。大工は千見村真面、久兵衛による建築。木造茅葺き、６間四方で三面が板壁、床板張り舞台は幅１１ｍ、高さ２．８ｍ、舞台中央には直径４．６ｍの廻り舞台を持つ。明治中頃まで歌舞伎を奉納していたという。</t>
    </r>
  </si>
  <si>
    <t>富士浅間神社絵額</t>
  </si>
  <si>
    <r>
      <t>１６面を指定。江戸時代、幕末の嘉永から安政年間のものが主体。大型のものが多く、保存も良好である。製作年代の最も古いものは、安永６年</t>
    </r>
    <r>
      <rPr>
        <sz val="9"/>
        <color theme="1"/>
        <rFont val="ＭＳ 明朝"/>
        <family val="1"/>
        <charset val="128"/>
      </rPr>
      <t>(</t>
    </r>
    <r>
      <rPr>
        <sz val="9"/>
        <color theme="1"/>
        <rFont val="ＭＳ Ｐゴシック"/>
        <family val="3"/>
        <charset val="128"/>
      </rPr>
      <t>１７７７</t>
    </r>
    <r>
      <rPr>
        <sz val="9"/>
        <color theme="1"/>
        <rFont val="ＭＳ 明朝"/>
        <family val="1"/>
        <charset val="128"/>
      </rPr>
      <t>)</t>
    </r>
    <r>
      <rPr>
        <sz val="9"/>
        <color theme="1"/>
        <rFont val="ＭＳ Ｐゴシック"/>
        <family val="3"/>
        <charset val="128"/>
      </rPr>
      <t>から昭和１４年</t>
    </r>
    <r>
      <rPr>
        <sz val="9"/>
        <color theme="1"/>
        <rFont val="ＭＳ 明朝"/>
        <family val="1"/>
        <charset val="128"/>
      </rPr>
      <t>(</t>
    </r>
    <r>
      <rPr>
        <sz val="9"/>
        <color theme="1"/>
        <rFont val="ＭＳ Ｐゴシック"/>
        <family val="3"/>
        <charset val="128"/>
      </rPr>
      <t>１９３９</t>
    </r>
    <r>
      <rPr>
        <sz val="9"/>
        <color theme="1"/>
        <rFont val="ＭＳ 明朝"/>
        <family val="1"/>
        <charset val="128"/>
      </rPr>
      <t>)</t>
    </r>
    <r>
      <rPr>
        <sz val="9"/>
        <color theme="1"/>
        <rFont val="ＭＳ Ｐゴシック"/>
        <family val="3"/>
        <charset val="128"/>
      </rPr>
      <t>のもの。</t>
    </r>
  </si>
  <si>
    <t>千見神明宮本殿</t>
  </si>
  <si>
    <t>美麻２５８７８番地</t>
  </si>
  <si>
    <r>
      <t>現在の本殿は江戸時代末期、天保１２年</t>
    </r>
    <r>
      <rPr>
        <sz val="9"/>
        <color theme="1"/>
        <rFont val="ＭＳ 明朝"/>
        <family val="1"/>
        <charset val="128"/>
      </rPr>
      <t>(</t>
    </r>
    <r>
      <rPr>
        <sz val="9"/>
        <color theme="1"/>
        <rFont val="ＭＳ Ｐゴシック"/>
        <family val="3"/>
        <charset val="128"/>
      </rPr>
      <t>１８４１</t>
    </r>
    <r>
      <rPr>
        <sz val="9"/>
        <color theme="1"/>
        <rFont val="ＭＳ 明朝"/>
        <family val="1"/>
        <charset val="128"/>
      </rPr>
      <t>)</t>
    </r>
    <r>
      <rPr>
        <sz val="9"/>
        <color theme="1"/>
        <rFont val="ＭＳ Ｐゴシック"/>
        <family val="3"/>
        <charset val="128"/>
      </rPr>
      <t>９月の造営再建である。一間社・神明造。大工棟梁は大町の曽根原甚五郎、曽根原謙蔵。最も古い慶長１７年</t>
    </r>
    <r>
      <rPr>
        <sz val="9"/>
        <color theme="1"/>
        <rFont val="ＭＳ 明朝"/>
        <family val="1"/>
        <charset val="128"/>
      </rPr>
      <t>(</t>
    </r>
    <r>
      <rPr>
        <sz val="9"/>
        <color theme="1"/>
        <rFont val="ＭＳ Ｐゴシック"/>
        <family val="3"/>
        <charset val="128"/>
      </rPr>
      <t>１６１７</t>
    </r>
    <r>
      <rPr>
        <sz val="9"/>
        <color theme="1"/>
        <rFont val="ＭＳ 明朝"/>
        <family val="1"/>
        <charset val="128"/>
      </rPr>
      <t>)</t>
    </r>
    <r>
      <rPr>
        <sz val="9"/>
        <color theme="1"/>
        <rFont val="ＭＳ Ｐゴシック"/>
        <family val="3"/>
        <charset val="128"/>
      </rPr>
      <t>の棟札と、藩奉行６名の連署が見られる幕末の万延元年</t>
    </r>
    <r>
      <rPr>
        <sz val="9"/>
        <color theme="1"/>
        <rFont val="ＭＳ 明朝"/>
        <family val="1"/>
        <charset val="128"/>
      </rPr>
      <t>(</t>
    </r>
    <r>
      <rPr>
        <sz val="9"/>
        <color theme="1"/>
        <rFont val="ＭＳ Ｐゴシック"/>
        <family val="3"/>
        <charset val="128"/>
      </rPr>
      <t>１８６０</t>
    </r>
    <r>
      <rPr>
        <sz val="9"/>
        <color theme="1"/>
        <rFont val="ＭＳ 明朝"/>
        <family val="1"/>
        <charset val="128"/>
      </rPr>
      <t>)</t>
    </r>
    <r>
      <rPr>
        <sz val="9"/>
        <color theme="1"/>
        <rFont val="ＭＳ Ｐゴシック"/>
        <family val="3"/>
        <charset val="128"/>
      </rPr>
      <t>の禁制札の２点が附属指定されている。</t>
    </r>
  </si>
  <si>
    <t>千見神明宮絵額と句額</t>
  </si>
  <si>
    <r>
      <t>千見神明宮拝殿に奉納される絵額（絵馬）のうち６面、句額のうち８面が今回指定された。絵額の製作年代は天明７年</t>
    </r>
    <r>
      <rPr>
        <sz val="9"/>
        <color theme="1"/>
        <rFont val="ＭＳ 明朝"/>
        <family val="1"/>
        <charset val="128"/>
      </rPr>
      <t>(</t>
    </r>
    <r>
      <rPr>
        <sz val="9"/>
        <color theme="1"/>
        <rFont val="ＭＳ Ｐゴシック"/>
        <family val="3"/>
        <charset val="128"/>
      </rPr>
      <t>１７８７</t>
    </r>
    <r>
      <rPr>
        <sz val="9"/>
        <color theme="1"/>
        <rFont val="ＭＳ 明朝"/>
        <family val="1"/>
        <charset val="128"/>
      </rPr>
      <t>)</t>
    </r>
    <r>
      <rPr>
        <sz val="9"/>
        <color theme="1"/>
        <rFont val="ＭＳ Ｐゴシック"/>
        <family val="3"/>
        <charset val="128"/>
      </rPr>
      <t>～安政２年</t>
    </r>
    <r>
      <rPr>
        <sz val="9"/>
        <color theme="1"/>
        <rFont val="ＭＳ 明朝"/>
        <family val="1"/>
        <charset val="128"/>
      </rPr>
      <t>(</t>
    </r>
    <r>
      <rPr>
        <sz val="9"/>
        <color theme="1"/>
        <rFont val="ＭＳ Ｐゴシック"/>
        <family val="3"/>
        <charset val="128"/>
      </rPr>
      <t>１８５５</t>
    </r>
    <r>
      <rPr>
        <sz val="9"/>
        <color theme="1"/>
        <rFont val="ＭＳ 明朝"/>
        <family val="1"/>
        <charset val="128"/>
      </rPr>
      <t>)</t>
    </r>
    <r>
      <rPr>
        <sz val="9"/>
        <color theme="1"/>
        <rFont val="ＭＳ Ｐゴシック"/>
        <family val="3"/>
        <charset val="128"/>
      </rPr>
      <t>にわたる。また、句額は文化５年</t>
    </r>
    <r>
      <rPr>
        <sz val="9"/>
        <color theme="1"/>
        <rFont val="ＭＳ 明朝"/>
        <family val="1"/>
        <charset val="128"/>
      </rPr>
      <t>(</t>
    </r>
    <r>
      <rPr>
        <sz val="9"/>
        <color theme="1"/>
        <rFont val="ＭＳ Ｐゴシック"/>
        <family val="3"/>
        <charset val="128"/>
      </rPr>
      <t>１８０８</t>
    </r>
    <r>
      <rPr>
        <sz val="9"/>
        <color theme="1"/>
        <rFont val="ＭＳ 明朝"/>
        <family val="1"/>
        <charset val="128"/>
      </rPr>
      <t>)</t>
    </r>
    <r>
      <rPr>
        <sz val="9"/>
        <color theme="1"/>
        <rFont val="ＭＳ Ｐゴシック"/>
        <family val="3"/>
        <charset val="128"/>
      </rPr>
      <t>～明治３３年</t>
    </r>
    <r>
      <rPr>
        <sz val="9"/>
        <color theme="1"/>
        <rFont val="ＭＳ 明朝"/>
        <family val="1"/>
        <charset val="128"/>
      </rPr>
      <t>(</t>
    </r>
    <r>
      <rPr>
        <sz val="9"/>
        <color theme="1"/>
        <rFont val="ＭＳ Ｐゴシック"/>
        <family val="3"/>
        <charset val="128"/>
      </rPr>
      <t>１９００</t>
    </r>
    <r>
      <rPr>
        <sz val="9"/>
        <color theme="1"/>
        <rFont val="ＭＳ 明朝"/>
        <family val="1"/>
        <charset val="128"/>
      </rPr>
      <t>)</t>
    </r>
    <r>
      <rPr>
        <sz val="9"/>
        <color theme="1"/>
        <rFont val="ＭＳ Ｐゴシック"/>
        <family val="3"/>
        <charset val="128"/>
      </rPr>
      <t>製作のもの。</t>
    </r>
  </si>
  <si>
    <t>水上神社本殿</t>
  </si>
  <si>
    <t>美麻９１５２番地</t>
  </si>
  <si>
    <r>
      <t>一間社・流造り。彫刻が優れる。古い棟札として、江戸時代中期享保４年</t>
    </r>
    <r>
      <rPr>
        <sz val="9"/>
        <color theme="1"/>
        <rFont val="ＭＳ 明朝"/>
        <family val="1"/>
        <charset val="128"/>
      </rPr>
      <t>(</t>
    </r>
    <r>
      <rPr>
        <sz val="9"/>
        <color theme="1"/>
        <rFont val="ＭＳ Ｐゴシック"/>
        <family val="3"/>
        <charset val="128"/>
      </rPr>
      <t>１７１９</t>
    </r>
    <r>
      <rPr>
        <sz val="9"/>
        <color theme="1"/>
        <rFont val="ＭＳ 明朝"/>
        <family val="1"/>
        <charset val="128"/>
      </rPr>
      <t>)</t>
    </r>
    <r>
      <rPr>
        <sz val="9"/>
        <color theme="1"/>
        <rFont val="ＭＳ Ｐゴシック"/>
        <family val="3"/>
        <charset val="128"/>
      </rPr>
      <t>のものが残る。現在の社殿は文政８年</t>
    </r>
    <r>
      <rPr>
        <sz val="9"/>
        <color theme="1"/>
        <rFont val="ＭＳ 明朝"/>
        <family val="1"/>
        <charset val="128"/>
      </rPr>
      <t>(</t>
    </r>
    <r>
      <rPr>
        <sz val="9"/>
        <color theme="1"/>
        <rFont val="ＭＳ Ｐゴシック"/>
        <family val="3"/>
        <charset val="128"/>
      </rPr>
      <t>１８２５</t>
    </r>
    <r>
      <rPr>
        <sz val="9"/>
        <color theme="1"/>
        <rFont val="ＭＳ 明朝"/>
        <family val="1"/>
        <charset val="128"/>
      </rPr>
      <t>)</t>
    </r>
    <r>
      <rPr>
        <sz val="9"/>
        <color theme="1"/>
        <rFont val="ＭＳ Ｐゴシック"/>
        <family val="3"/>
        <charset val="128"/>
      </rPr>
      <t>建立、大工棟梁は越後市振の片桐利七とその一門によるもので、装飾彫刻に優れている。庄屋小林家にはこの時の造営帳が残っており大変貴重である。</t>
    </r>
  </si>
  <si>
    <t>下條家関守門</t>
  </si>
  <si>
    <t>美麻２６０３６番地</t>
  </si>
  <si>
    <r>
      <t>松本藩と松代藩とが境を接する旧千見村に建てられた、関守の地位と格式を象徴する門である。建築年代不明。松本藩水野氏の代</t>
    </r>
    <r>
      <rPr>
        <sz val="9"/>
        <color theme="1"/>
        <rFont val="ＭＳ 明朝"/>
        <family val="1"/>
        <charset val="128"/>
      </rPr>
      <t>(</t>
    </r>
    <r>
      <rPr>
        <sz val="9"/>
        <color theme="1"/>
        <rFont val="ＭＳ Ｐゴシック"/>
        <family val="3"/>
        <charset val="128"/>
      </rPr>
      <t>１６４２～１７２５</t>
    </r>
    <r>
      <rPr>
        <sz val="9"/>
        <color theme="1"/>
        <rFont val="ＭＳ 明朝"/>
        <family val="1"/>
        <charset val="128"/>
      </rPr>
      <t>)</t>
    </r>
    <r>
      <rPr>
        <sz val="9"/>
        <color theme="1"/>
        <rFont val="ＭＳ Ｐゴシック"/>
        <family val="3"/>
        <charset val="128"/>
      </rPr>
      <t>に関守を置き、下條家はその任をまかされて当時５０石をあたえられ、鉄砲組を配して警備にあたった。門正面は三間、奥行き二間の門に切妻屋根。北側には三間の長屋が残存する。現在はトタン屋根であるが、もとは茅葺き。</t>
    </r>
  </si>
  <si>
    <t>マルセン下條家文書一括</t>
  </si>
  <si>
    <r>
      <t>元和年間</t>
    </r>
    <r>
      <rPr>
        <sz val="9"/>
        <color theme="1"/>
        <rFont val="ＭＳ 明朝"/>
        <family val="1"/>
        <charset val="128"/>
      </rPr>
      <t>(</t>
    </r>
    <r>
      <rPr>
        <sz val="9"/>
        <color theme="1"/>
        <rFont val="ＭＳ Ｐゴシック"/>
        <family val="3"/>
        <charset val="128"/>
      </rPr>
      <t>１６１５</t>
    </r>
    <r>
      <rPr>
        <sz val="9"/>
        <color theme="1"/>
        <rFont val="ＭＳ 明朝"/>
        <family val="1"/>
        <charset val="128"/>
      </rPr>
      <t>)</t>
    </r>
    <r>
      <rPr>
        <sz val="9"/>
        <color theme="1"/>
        <rFont val="ＭＳ Ｐゴシック"/>
        <family val="3"/>
        <charset val="128"/>
      </rPr>
      <t>より明治初期に及ぶ武家（藩の記録）、関守文書（４６点・２６％）を中心とする。藩政の一端を担った在地の史料として貴重。指定文書１６９点。</t>
    </r>
  </si>
  <si>
    <t>ヤマジョウ中村家文書一括</t>
  </si>
  <si>
    <r>
      <t>江戸時代初期の寛永２１年</t>
    </r>
    <r>
      <rPr>
        <sz val="9"/>
        <color theme="1"/>
        <rFont val="ＭＳ 明朝"/>
        <family val="1"/>
        <charset val="128"/>
      </rPr>
      <t>(</t>
    </r>
    <r>
      <rPr>
        <sz val="9"/>
        <color theme="1"/>
        <rFont val="ＭＳ Ｐゴシック"/>
        <family val="3"/>
        <charset val="128"/>
      </rPr>
      <t>１６４４</t>
    </r>
    <r>
      <rPr>
        <sz val="9"/>
        <color theme="1"/>
        <rFont val="ＭＳ 明朝"/>
        <family val="1"/>
        <charset val="128"/>
      </rPr>
      <t>)</t>
    </r>
    <r>
      <rPr>
        <sz val="9"/>
        <color theme="1"/>
        <rFont val="ＭＳ Ｐゴシック"/>
        <family val="3"/>
        <charset val="128"/>
      </rPr>
      <t>から明治初期にかけての文書。青具村庄屋。藩政及び村政の実情をたどる上で貴重な史料である。また、「中村家年代記」のように、出来事や世の中の風聞など村ならではの史料が残される。指定文書６１６点。旧中村家住宅土蔵保管。</t>
    </r>
  </si>
  <si>
    <t>大塩高札場の高札</t>
  </si>
  <si>
    <r>
      <t>Ｈ１９．３．２７</t>
    </r>
    <r>
      <rPr>
        <sz val="9"/>
        <color theme="1"/>
        <rFont val="ＭＳ 明朝"/>
        <family val="1"/>
        <charset val="128"/>
      </rPr>
      <t xml:space="preserve"> </t>
    </r>
    <r>
      <rPr>
        <sz val="9"/>
        <color theme="1"/>
        <rFont val="ＭＳ Ｐゴシック"/>
        <family val="3"/>
        <charset val="128"/>
      </rPr>
      <t>追加指定</t>
    </r>
  </si>
  <si>
    <t>①②③美麻１７６６８番地</t>
  </si>
  <si>
    <t>④常盤３６６２番地４</t>
  </si>
  <si>
    <t>もともとの大塩の高札場（大塩南村）は、現在、県天然記念物になっている「静の桜」より、１００ｍほど南側の街道沿いに存在したものであり、指定された４点はいずれも江戸時代、大塩の高札場に掲げられていたものである。①「キリシタン禁制」（正徳元年（１７１１）・９１×３３㎝）、②「毒薬禁制」（正徳元年（１７１１）・１２４×４９㎝）、③「にせ銭金制」（天保１０年（１８３９）・８２×３６㎝）、④「親子・博奕・忠孝等の定め」（正徳元年（１７１１）・１２３×５２㎝）。①～③の３点は旧中村家住宅土蔵に展示されている。④は個人所有。</t>
  </si>
  <si>
    <t>向生仏屋敷出土灰釉陶器広口瓶</t>
  </si>
  <si>
    <t>昭和初期、耕作中に発見されたもので、器高は１９．７㎝、口径１０．２㎝底径８．５㎝。口縁部の一部が欠損するのみで、ほぼ完形である。産地は岐阜県多治見市周辺の東濃地方産で、時期は大原１号窯式（１０世紀前半）。旧中村家住宅土蔵展示。</t>
  </si>
  <si>
    <t>木造阿弥陀仏如来立像</t>
  </si>
  <si>
    <t>常盤４３０８番地３</t>
  </si>
  <si>
    <t>総高４８．５㎝、像高２８㎝、台座１１㎝。木食山居作と推定される江戸時代中期の木像。個人所有。</t>
  </si>
  <si>
    <t>薬師堂の木造薬師如来立像</t>
  </si>
  <si>
    <t>薬師如来像は木食山居作と推定され、総高４５㎝、像高３６．５㎝、台座１２．５㎝。附属指定の木造聖観音立像も木食山居作と推定される江戸時代中期の木像。聖観音立像は総高５３㎝、像高４３㎝、台座１０㎝。個人保管。</t>
  </si>
  <si>
    <r>
      <t>中村孝三述</t>
    </r>
    <r>
      <rPr>
        <sz val="9"/>
        <color theme="1"/>
        <rFont val="ＭＳ 明朝"/>
        <family val="1"/>
        <charset val="128"/>
      </rPr>
      <t xml:space="preserve"> </t>
    </r>
    <r>
      <rPr>
        <sz val="9"/>
        <color theme="1"/>
        <rFont val="ＭＳ Ｐゴシック"/>
        <family val="3"/>
        <charset val="128"/>
      </rPr>
      <t>『学びの糸口』</t>
    </r>
  </si>
  <si>
    <t>Ｈ１９．３．２７　　大町４７３３番地３</t>
  </si>
  <si>
    <t>大町市立大町西小学校</t>
  </si>
  <si>
    <t>この手記は明治維新の学制発布当時の大町の人々の動きを記録し、単なる制度の解説書ではなく、唐突な制度改正に戸惑う地方の人々の気持ちを活写し、民衆の気持ちも察せられる重要な文献史料である。</t>
  </si>
  <si>
    <t>ハチマル栗林家文書一括</t>
  </si>
  <si>
    <r>
      <t>江戸時代中期以降、大町組の大庄屋を勤め、明治時代においても大町の要職にあった八丸栗林家に残された古文書類で、江戸時代・明治時代の大町のようすを知ることのできる近世</t>
    </r>
    <r>
      <rPr>
        <sz val="9"/>
        <color theme="1"/>
        <rFont val="ＭＳ 明朝"/>
        <family val="1"/>
        <charset val="128"/>
      </rPr>
      <t>(</t>
    </r>
    <r>
      <rPr>
        <sz val="9"/>
        <color theme="1"/>
        <rFont val="ＭＳ Ｐゴシック"/>
        <family val="3"/>
        <charset val="128"/>
      </rPr>
      <t>江戸時代</t>
    </r>
    <r>
      <rPr>
        <sz val="9"/>
        <color theme="1"/>
        <rFont val="ＭＳ 明朝"/>
        <family val="1"/>
        <charset val="128"/>
      </rPr>
      <t>)</t>
    </r>
    <r>
      <rPr>
        <sz val="9"/>
        <color theme="1"/>
        <rFont val="ＭＳ Ｐゴシック"/>
        <family val="3"/>
        <charset val="128"/>
      </rPr>
      <t>の文書１，８１１点、近代</t>
    </r>
    <r>
      <rPr>
        <sz val="9"/>
        <color theme="1"/>
        <rFont val="ＭＳ 明朝"/>
        <family val="1"/>
        <charset val="128"/>
      </rPr>
      <t>(</t>
    </r>
    <r>
      <rPr>
        <sz val="9"/>
        <color theme="1"/>
        <rFont val="ＭＳ Ｐゴシック"/>
        <family val="3"/>
        <charset val="128"/>
      </rPr>
      <t>明治～大正時代</t>
    </r>
    <r>
      <rPr>
        <sz val="9"/>
        <color theme="1"/>
        <rFont val="ＭＳ 明朝"/>
        <family val="1"/>
        <charset val="128"/>
      </rPr>
      <t>)</t>
    </r>
    <r>
      <rPr>
        <sz val="9"/>
        <color theme="1"/>
        <rFont val="ＭＳ Ｐゴシック"/>
        <family val="3"/>
        <charset val="128"/>
      </rPr>
      <t>の文書６１４点、計２，４２５点。大町市文化財センター保管。</t>
    </r>
  </si>
  <si>
    <t>ヤマセン永田家文書一括</t>
  </si>
  <si>
    <r>
      <t>美麻千見において江戸時代に大町組千見村の庄屋を勤め、一時期は大町組の大庄屋も勤め、明治時代初期に千見の戸長を勤め、旧美麻村の合併など新しい時代の村づくりに尽くした永田家に残された古文書類で、江戸・明治時代の山間地域のようすを知ることのできる文書として貴重。近世</t>
    </r>
    <r>
      <rPr>
        <sz val="9"/>
        <color theme="1"/>
        <rFont val="ＭＳ 明朝"/>
        <family val="1"/>
        <charset val="128"/>
      </rPr>
      <t>(</t>
    </r>
    <r>
      <rPr>
        <sz val="9"/>
        <color theme="1"/>
        <rFont val="ＭＳ Ｐゴシック"/>
        <family val="3"/>
        <charset val="128"/>
      </rPr>
      <t>江戸時代</t>
    </r>
    <r>
      <rPr>
        <sz val="9"/>
        <color theme="1"/>
        <rFont val="ＭＳ 明朝"/>
        <family val="1"/>
        <charset val="128"/>
      </rPr>
      <t>)</t>
    </r>
    <r>
      <rPr>
        <sz val="9"/>
        <color theme="1"/>
        <rFont val="ＭＳ Ｐゴシック"/>
        <family val="3"/>
        <charset val="128"/>
      </rPr>
      <t>の文書３６３点、近代</t>
    </r>
    <r>
      <rPr>
        <sz val="9"/>
        <color theme="1"/>
        <rFont val="ＭＳ 明朝"/>
        <family val="1"/>
        <charset val="128"/>
      </rPr>
      <t>(</t>
    </r>
    <r>
      <rPr>
        <sz val="9"/>
        <color theme="1"/>
        <rFont val="ＭＳ Ｐゴシック"/>
        <family val="3"/>
        <charset val="128"/>
      </rPr>
      <t>明治時代</t>
    </r>
    <r>
      <rPr>
        <sz val="9"/>
        <color theme="1"/>
        <rFont val="ＭＳ 明朝"/>
        <family val="1"/>
        <charset val="128"/>
      </rPr>
      <t>)</t>
    </r>
    <r>
      <rPr>
        <sz val="9"/>
        <color theme="1"/>
        <rFont val="ＭＳ Ｐゴシック"/>
        <family val="3"/>
        <charset val="128"/>
      </rPr>
      <t>の文書２２２点、計５８５点。大町市文化財センター保管。</t>
    </r>
  </si>
  <si>
    <t>［　大町市民俗資料　］</t>
  </si>
  <si>
    <t>宮本・松崎紙紙すき用具コレクション</t>
  </si>
  <si>
    <t>社地区は江戸時代から紙すきが盛んで、宮本紙・松崎紙と呼ばれ珍重されてきた。この資料は当地で行われてきた紙すき用具を集めたもので、紙すきの全容を知る上で貴重な資料である。大町市民俗資料館保管・展示。</t>
  </si>
  <si>
    <t>仏崎観音寺の千有一馬集絵馬</t>
  </si>
  <si>
    <r>
      <t>安政２年</t>
    </r>
    <r>
      <rPr>
        <sz val="9"/>
        <color theme="1"/>
        <rFont val="ＭＳ 明朝"/>
        <family val="1"/>
        <charset val="128"/>
      </rPr>
      <t>(</t>
    </r>
    <r>
      <rPr>
        <sz val="9"/>
        <color theme="1"/>
        <rFont val="ＭＳ Ｐゴシック"/>
        <family val="3"/>
        <charset val="128"/>
      </rPr>
      <t>１８５５</t>
    </r>
    <r>
      <rPr>
        <sz val="9"/>
        <color theme="1"/>
        <rFont val="ＭＳ 明朝"/>
        <family val="1"/>
        <charset val="128"/>
      </rPr>
      <t>)</t>
    </r>
    <r>
      <rPr>
        <sz val="9"/>
        <color theme="1"/>
        <rFont val="ＭＳ Ｐゴシック"/>
        <family val="3"/>
        <charset val="128"/>
      </rPr>
      <t>に絵師村上完民、中藤月漢によって描かれた、縦２１０㎝、横４７５㎝の北安曇郡内最大の絵馬。画面下部に寄進者名などが村ごとに二段余にわたって列記されており、当時の庶民信仰の在り方などを示す貴重な資料である。</t>
    </r>
  </si>
  <si>
    <t>医王谷飯綱神社筒粥占い神事</t>
  </si>
  <si>
    <r>
      <t>もと医王谷飯綱神社は八坂北桑梨・西の窪地に所属し、この神事はそこで行なわれていたものである。伝承によれば、江戸時代初期の元和７年</t>
    </r>
    <r>
      <rPr>
        <sz val="9"/>
        <color theme="1"/>
        <rFont val="ＭＳ 明朝"/>
        <family val="1"/>
        <charset val="128"/>
      </rPr>
      <t>(</t>
    </r>
    <r>
      <rPr>
        <sz val="9"/>
        <color theme="1"/>
        <rFont val="ＭＳ Ｐゴシック"/>
        <family val="3"/>
        <charset val="128"/>
      </rPr>
      <t>１６２１</t>
    </r>
    <r>
      <rPr>
        <sz val="9"/>
        <color theme="1"/>
        <rFont val="ＭＳ 明朝"/>
        <family val="1"/>
        <charset val="128"/>
      </rPr>
      <t>)</t>
    </r>
    <r>
      <rPr>
        <sz val="9"/>
        <color theme="1"/>
        <rFont val="ＭＳ Ｐゴシック"/>
        <family val="3"/>
        <charset val="128"/>
      </rPr>
      <t>に飯綱神社がその地に勧請されたときから神事は始められたと言われている。毎小正月の１月１５日、神社に集まり、小豆粥を炊き、世の中・気象関係・農作物関係・天皇家など４０項目の占いを行なう年頭の神事。郡内では唯一の神事。</t>
    </r>
  </si>
  <si>
    <t>水上神社の御輿巡幸</t>
  </si>
  <si>
    <t>担い棒つき鳥居形や神殿等で構成されていたが、現在は神殿部分が欠失し、代わって神体御幣と木製の四本鉾を神輿に立てて用いている。裃に帯刀姿の警護４人による巡幸の神事。神輿は江戸時代末期の作と推定される。</t>
  </si>
  <si>
    <t>［　大町市史跡　］</t>
  </si>
  <si>
    <t>天正寺仁科氏居館跡</t>
  </si>
  <si>
    <t>大町４７２９番地４ほか</t>
  </si>
  <si>
    <t>鎌倉時代後期から室町時代末までの仁科氏の居館跡である。平城で、規模は東西１８０ｍ・南北１２０ｍ、外堀と内堀の二重の堀や土居を回らせた居館である。仁科氏の滅亡後にその菩提を弔って、ここに天正院を造ったと言われている。</t>
  </si>
  <si>
    <t>新郷１号古墳及び副葬品一括</t>
  </si>
  <si>
    <r>
      <t>古墳時代後期の６世紀末に築造されて８世紀初めまで使用された、松本平では数少ない積石塚である。横穴式石室で、埋葬状態もよく残っており、副葬品も豊富に残されていた。昭和５８年</t>
    </r>
    <r>
      <rPr>
        <sz val="9"/>
        <color theme="1"/>
        <rFont val="ＭＳ 明朝"/>
        <family val="1"/>
        <charset val="128"/>
      </rPr>
      <t>(</t>
    </r>
    <r>
      <rPr>
        <sz val="9"/>
        <color theme="1"/>
        <rFont val="ＭＳ Ｐゴシック"/>
        <family val="3"/>
        <charset val="128"/>
      </rPr>
      <t>１９８３</t>
    </r>
    <r>
      <rPr>
        <sz val="9"/>
        <color theme="1"/>
        <rFont val="ＭＳ 明朝"/>
        <family val="1"/>
        <charset val="128"/>
      </rPr>
      <t>)</t>
    </r>
    <r>
      <rPr>
        <sz val="9"/>
        <color theme="1"/>
        <rFont val="ＭＳ Ｐゴシック"/>
        <family val="3"/>
        <charset val="128"/>
      </rPr>
      <t>に発掘調査。副葬品（出土品）は大町市文化財センターで保管。</t>
    </r>
  </si>
  <si>
    <t>権現山堂屋敷跡</t>
  </si>
  <si>
    <r>
      <t>権現山の山麓に堂屋敷と言い伝えられてきた礎石が残る屋敷跡。永禄年間</t>
    </r>
    <r>
      <rPr>
        <sz val="9"/>
        <color theme="1"/>
        <rFont val="ＭＳ 明朝"/>
        <family val="1"/>
        <charset val="128"/>
      </rPr>
      <t>(</t>
    </r>
    <r>
      <rPr>
        <sz val="9"/>
        <color theme="1"/>
        <rFont val="ＭＳ Ｐゴシック"/>
        <family val="3"/>
        <charset val="128"/>
      </rPr>
      <t>１５５８～１５６９</t>
    </r>
    <r>
      <rPr>
        <sz val="9"/>
        <color theme="1"/>
        <rFont val="ＭＳ 明朝"/>
        <family val="1"/>
        <charset val="128"/>
      </rPr>
      <t>)</t>
    </r>
    <r>
      <rPr>
        <sz val="9"/>
        <color theme="1"/>
        <rFont val="ＭＳ Ｐゴシック"/>
        <family val="3"/>
        <charset val="128"/>
      </rPr>
      <t>、戸隠大権現が上杉の兵火の難を逃れるため、この地に奉遷を計画したとの伝承がある。しかし、文禄３年</t>
    </r>
    <r>
      <rPr>
        <sz val="9"/>
        <color theme="1"/>
        <rFont val="ＭＳ 明朝"/>
        <family val="1"/>
        <charset val="128"/>
      </rPr>
      <t>(</t>
    </r>
    <r>
      <rPr>
        <sz val="9"/>
        <color theme="1"/>
        <rFont val="ＭＳ Ｐゴシック"/>
        <family val="3"/>
        <charset val="128"/>
      </rPr>
      <t>１５９４</t>
    </r>
    <r>
      <rPr>
        <sz val="9"/>
        <color theme="1"/>
        <rFont val="ＭＳ 明朝"/>
        <family val="1"/>
        <charset val="128"/>
      </rPr>
      <t>)</t>
    </r>
    <r>
      <rPr>
        <sz val="9"/>
        <color theme="1"/>
        <rFont val="ＭＳ Ｐゴシック"/>
        <family val="3"/>
        <charset val="128"/>
      </rPr>
      <t>の鎮静により、夫筏別院から当地への奉遷はなかった。附属指定として、戴神社奥社に隣接するウラジロモミ（２本）、クロベ（２本）、カラマツ（１本）の計５本。</t>
    </r>
  </si>
  <si>
    <t>千見山城跡</t>
  </si>
  <si>
    <r>
      <t>伝承では、城主は上杉方大日方源吾長辰氏と言われる。また、武田方の山県昌景により、弘治２年</t>
    </r>
    <r>
      <rPr>
        <sz val="9"/>
        <color theme="1"/>
        <rFont val="ＭＳ 明朝"/>
        <family val="1"/>
        <charset val="128"/>
      </rPr>
      <t>(</t>
    </r>
    <r>
      <rPr>
        <sz val="9"/>
        <color theme="1"/>
        <rFont val="ＭＳ Ｐゴシック"/>
        <family val="3"/>
        <charset val="128"/>
      </rPr>
      <t>１５５６</t>
    </r>
    <r>
      <rPr>
        <sz val="9"/>
        <color theme="1"/>
        <rFont val="ＭＳ 明朝"/>
        <family val="1"/>
        <charset val="128"/>
      </rPr>
      <t>)</t>
    </r>
    <r>
      <rPr>
        <sz val="9"/>
        <color theme="1"/>
        <rFont val="ＭＳ Ｐゴシック"/>
        <family val="3"/>
        <charset val="128"/>
      </rPr>
      <t>に火攻めにされて落城したと伝えられる。曲輪や堀跡が残り、網戸、空堀、犬戻、厩、水の手、城裏、帳場、山城、一ノ木戸、二ノ木戸、西木戸、馬場、鍵掛などの地名が残る。本丸東西５０ｍ×南北２０ｍ、二の丸東西４０ｍ×南北３０ｍ、三の丸東西２０ｍ×南北１５ｍを測る。なお、天保６年</t>
    </r>
    <r>
      <rPr>
        <sz val="9"/>
        <color theme="1"/>
        <rFont val="ＭＳ 明朝"/>
        <family val="1"/>
        <charset val="128"/>
      </rPr>
      <t>(</t>
    </r>
    <r>
      <rPr>
        <sz val="9"/>
        <color theme="1"/>
        <rFont val="ＭＳ Ｐゴシック"/>
        <family val="3"/>
        <charset val="128"/>
      </rPr>
      <t>１８３５</t>
    </r>
    <r>
      <rPr>
        <sz val="9"/>
        <color theme="1"/>
        <rFont val="ＭＳ 明朝"/>
        <family val="1"/>
        <charset val="128"/>
      </rPr>
      <t>)</t>
    </r>
    <r>
      <rPr>
        <sz val="9"/>
        <color theme="1"/>
        <rFont val="ＭＳ Ｐゴシック"/>
        <family val="3"/>
        <charset val="128"/>
      </rPr>
      <t>造立の城主供養塔がある。</t>
    </r>
  </si>
  <si>
    <t>大塩山城跡</t>
  </si>
  <si>
    <r>
      <t>本丸跡（１２×２７ｍ）、二の丸、一の曲輪、二の曲輪跡を具える複郭式山城。兵糧倉、水槽、城内、征城門跡、物見櫓跡等の施設が伝わる。山上に仁科氏を祀る祠があり、「木曽義貞、寿永３年（１１８４）の義仲戦死後、仁科盛遠によって大野田に隠される。安貞元年</t>
    </r>
    <r>
      <rPr>
        <sz val="9"/>
        <color theme="1"/>
        <rFont val="ＭＳ 明朝"/>
        <family val="1"/>
        <charset val="128"/>
      </rPr>
      <t>(</t>
    </r>
    <r>
      <rPr>
        <sz val="9"/>
        <color theme="1"/>
        <rFont val="ＭＳ Ｐゴシック"/>
        <family val="3"/>
        <charset val="128"/>
      </rPr>
      <t>１２２７</t>
    </r>
    <r>
      <rPr>
        <sz val="9"/>
        <color theme="1"/>
        <rFont val="ＭＳ 明朝"/>
        <family val="1"/>
        <charset val="128"/>
      </rPr>
      <t>)</t>
    </r>
    <r>
      <rPr>
        <sz val="9"/>
        <color theme="1"/>
        <rFont val="ＭＳ Ｐゴシック"/>
        <family val="3"/>
        <charset val="128"/>
      </rPr>
      <t>、森城に拠する阿部貞高を討つために大塩城を築く（信府統記）。後に義重は仁科の姓を名乗る」とする伝承がある。</t>
    </r>
  </si>
  <si>
    <t>堀の内遺跡</t>
  </si>
  <si>
    <t>美麻（大塩中村城山）９３８番地ほか</t>
  </si>
  <si>
    <r>
      <t>これまでに、遺跡内では平成５年</t>
    </r>
    <r>
      <rPr>
        <sz val="9"/>
        <color theme="1"/>
        <rFont val="ＭＳ 明朝"/>
        <family val="1"/>
        <charset val="128"/>
      </rPr>
      <t>(</t>
    </r>
    <r>
      <rPr>
        <sz val="9"/>
        <color theme="1"/>
        <rFont val="ＭＳ Ｐゴシック"/>
        <family val="3"/>
        <charset val="128"/>
      </rPr>
      <t>１９９３</t>
    </r>
    <r>
      <rPr>
        <sz val="9"/>
        <color theme="1"/>
        <rFont val="ＭＳ 明朝"/>
        <family val="1"/>
        <charset val="128"/>
      </rPr>
      <t>)</t>
    </r>
    <r>
      <rPr>
        <sz val="9"/>
        <color theme="1"/>
        <rFont val="ＭＳ Ｐゴシック"/>
        <family val="3"/>
        <charset val="128"/>
      </rPr>
      <t>と平成１２年</t>
    </r>
    <r>
      <rPr>
        <sz val="9"/>
        <color theme="1"/>
        <rFont val="ＭＳ 明朝"/>
        <family val="1"/>
        <charset val="128"/>
      </rPr>
      <t>(</t>
    </r>
    <r>
      <rPr>
        <sz val="9"/>
        <color theme="1"/>
        <rFont val="ＭＳ Ｐゴシック"/>
        <family val="3"/>
        <charset val="128"/>
      </rPr>
      <t>２０００</t>
    </r>
    <r>
      <rPr>
        <sz val="9"/>
        <color theme="1"/>
        <rFont val="ＭＳ 明朝"/>
        <family val="1"/>
        <charset val="128"/>
      </rPr>
      <t>)</t>
    </r>
    <r>
      <rPr>
        <sz val="9"/>
        <color theme="1"/>
        <rFont val="ＭＳ Ｐゴシック"/>
        <family val="3"/>
        <charset val="128"/>
      </rPr>
      <t>における２回の発掘調査が実施されている。縄文時代早期から中世にかけての複合遺跡である。中世の遺構としては、居館が確認されている。大塩山城跡の根小屋と思われる。</t>
    </r>
  </si>
  <si>
    <t>［　大町市天然記念物　］</t>
  </si>
  <si>
    <t>オオヤマザクラ</t>
  </si>
  <si>
    <t>大字平２２４１９番地３ほか</t>
  </si>
  <si>
    <t>国内でも北部の地方で自生するサクラで、群生地としては大町市が南限であり、比較的分布密度の高い中綱湖・青木湖周辺の自生のサクラが指定されている。オオヤマザクラは淡紅色の華やかな色彩を持ち、病害虫にも強いサクラである。</t>
  </si>
  <si>
    <t>霊松寺のオハツキイチョウ</t>
  </si>
  <si>
    <t>大字大町６６６５番地イ</t>
  </si>
  <si>
    <t>オハツキイチョウとは「お葉付銀杏」の意味で、ギンナンが葉の上に結実するもの。こうした葉はこの木の場合、全体で１０％程度である。オハツキイチョウは現在のイチョウの進化以前の姿と言われ、先祖返りのような珍しい現象で学術研究上貴重な木である。</t>
  </si>
  <si>
    <t>高瀬川の基盤岩</t>
  </si>
  <si>
    <t>大字常盤６７２０番地３</t>
  </si>
  <si>
    <t>松本盆地内部で確認された唯一の岩盤。この存在によって、従来はなめらかな地形と考えられていた盆地の岩盤が、実はかなりの起伏に富んでいることがわかった。また糸魚川－静岡構造線の通過位置を知る貴重な手掛りでもある。</t>
  </si>
  <si>
    <t>一本木神社のカシワ</t>
  </si>
  <si>
    <t>大字常盤４７３３番地－１</t>
  </si>
  <si>
    <t>目通り周囲３．３５ｍ、樹高２５．５ｍ、推定樹齢３００年。二次林の構成種としては稀に見る大木で、推定樹齢の割には樹形の均整がとれ、腐朽部が少なく旺盛な活力を維持している。大径木としては残りにくいカシワの中で巨樹として現存するのは珍しい。</t>
  </si>
  <si>
    <t>市立大町山岳博物館のトキ標本</t>
  </si>
  <si>
    <r>
      <t>トキは特別天然記念物であり、国際保護鳥として保護されてきたが、日本産のトキは絶滅した。このような状況下にあるトキの標本は大変に貴重なものである。市立大町山岳博物館のトキは大正８年</t>
    </r>
    <r>
      <rPr>
        <sz val="9"/>
        <color theme="1"/>
        <rFont val="ＭＳ 明朝"/>
        <family val="1"/>
        <charset val="128"/>
      </rPr>
      <t>(</t>
    </r>
    <r>
      <rPr>
        <sz val="9"/>
        <color theme="1"/>
        <rFont val="ＭＳ Ｐゴシック"/>
        <family val="3"/>
        <charset val="128"/>
      </rPr>
      <t>１９１９</t>
    </r>
    <r>
      <rPr>
        <sz val="9"/>
        <color theme="1"/>
        <rFont val="ＭＳ 明朝"/>
        <family val="1"/>
        <charset val="128"/>
      </rPr>
      <t>)</t>
    </r>
    <r>
      <rPr>
        <sz val="9"/>
        <color theme="1"/>
        <rFont val="ＭＳ Ｐゴシック"/>
        <family val="3"/>
        <charset val="128"/>
      </rPr>
      <t>１１月、長野県大町岳陽高等学校のトキは大正６年</t>
    </r>
    <r>
      <rPr>
        <sz val="9"/>
        <color theme="1"/>
        <rFont val="ＭＳ 明朝"/>
        <family val="1"/>
        <charset val="128"/>
      </rPr>
      <t>(</t>
    </r>
    <r>
      <rPr>
        <sz val="9"/>
        <color theme="1"/>
        <rFont val="ＭＳ Ｐゴシック"/>
        <family val="3"/>
        <charset val="128"/>
      </rPr>
      <t>１９１７</t>
    </r>
    <r>
      <rPr>
        <sz val="9"/>
        <color theme="1"/>
        <rFont val="ＭＳ 明朝"/>
        <family val="1"/>
        <charset val="128"/>
      </rPr>
      <t>)</t>
    </r>
    <r>
      <rPr>
        <sz val="9"/>
        <color theme="1"/>
        <rFont val="ＭＳ Ｐゴシック"/>
        <family val="3"/>
        <charset val="128"/>
      </rPr>
      <t>１１月にそれぞれ美麻で捕獲されたものである。</t>
    </r>
  </si>
  <si>
    <t>海ノ口のアカマツ（カサマツ）</t>
  </si>
  <si>
    <t>平１３１８８番地４</t>
  </si>
  <si>
    <r>
      <t>樹形は単幹の傘形で、樹高１８ｍ、目通り周囲４．１７ｍ。樹齢は３００年以上と推定される。まっすぐに伸びた樹幹は地上９．５ｍの位置で大枝に３分岐して、それが広がり傘形となっている。この樹形から地元の人々は「カサマツ</t>
    </r>
    <r>
      <rPr>
        <sz val="9"/>
        <color theme="1"/>
        <rFont val="ＭＳ 明朝"/>
        <family val="1"/>
        <charset val="128"/>
      </rPr>
      <t>(</t>
    </r>
    <r>
      <rPr>
        <sz val="9"/>
        <color theme="1"/>
        <rFont val="ＭＳ Ｐゴシック"/>
        <family val="3"/>
        <charset val="128"/>
      </rPr>
      <t>笠松</t>
    </r>
    <r>
      <rPr>
        <sz val="9"/>
        <color theme="1"/>
        <rFont val="ＭＳ 明朝"/>
        <family val="1"/>
        <charset val="128"/>
      </rPr>
      <t>)</t>
    </r>
    <r>
      <rPr>
        <sz val="9"/>
        <color theme="1"/>
        <rFont val="ＭＳ Ｐゴシック"/>
        <family val="3"/>
        <charset val="128"/>
      </rPr>
      <t>」と呼んで大切にしている。</t>
    </r>
  </si>
  <si>
    <t>中シマのモリアオガエル繁殖地</t>
  </si>
  <si>
    <t>平２３１０９番地１</t>
  </si>
  <si>
    <t>モリアオガエルは樹上に泡状の卵塊を産む特異な生態をもつカエルで、産卵は梅雨期の雨の降る夜間に行われる。大町市のモリアオガエルの繁殖地は５ヵ所しかなく、特に中シマは比較的まとまった産卵が見られる貴重な繁殖地である。</t>
  </si>
  <si>
    <t>須沼薬師堂のカツラ</t>
  </si>
  <si>
    <t>東西一対のカツラの木は、薬師堂の門木として大切にされてきた。市内最大のカツラと思われるが、均整のとれた樹形をもち田園風景の中にひときわ目立っている。東幹は樹高２０．５ｍ、目通り周囲３．５ｍ。西幹は樹高２５．５ｍ、目通り周囲４．１ｍ。</t>
  </si>
  <si>
    <t>西山西原のイチイ</t>
  </si>
  <si>
    <t>イチイは別名アララギともいう。イチイがひときわ目立つため、この木のあるリンゴ園は通称「アララギ園」と呼ばれている。樹高１２．５ｍ、目通り周囲２．９５ｍ。雌雄異株で、この木は雌木である。イチイは大木として残るものは極めて少なく貴重である。</t>
  </si>
  <si>
    <t>大黒町追分のシダレザクラ</t>
  </si>
  <si>
    <t>大町１５１７番地１</t>
  </si>
  <si>
    <t>大黒天の石像の脇に生育しており、「大黒様のシダレザクラ」と呼ばれ親しまれている。樹高８．５ｍ、目通り周囲３．０５ｍ。推定樹齢は約１５０年で、石像の製作年代と重なる。シダレザクラでは市内最大のもの。</t>
  </si>
  <si>
    <t>三日町若宮八幡宮のヒノキ</t>
  </si>
  <si>
    <t>大町８２５４番地</t>
  </si>
  <si>
    <t>樹高２９ｍ、目通り周囲５．１ｍ。三日町分水集落の氏神である若宮八幡宮の御神木で、均整のとれた自然樹形を保っている。ヒノキは優良な建築用材であるために大径木として残るものは稀で貴重なものである。推定樹齢は４００年以上。</t>
  </si>
  <si>
    <t>西山城山のエドヒガン</t>
  </si>
  <si>
    <t>常盤８０９９番地１</t>
  </si>
  <si>
    <t>樹高２９ｍ、根回り周囲５．３３ｍで、東西二幹に分かれたエドヒガンザクラ。西山城跡の急峻な北斜面に生息しており、谷側に向かって枝を張る自然樹形である。この樹を切ると山が崩れると言い伝えられ、これが大径木になった一因となっている。</t>
  </si>
  <si>
    <t>高根町曽根田のエドヒガン</t>
  </si>
  <si>
    <t>大町７１７４番地１</t>
  </si>
  <si>
    <t>単幹で均整のとれた傘形の樹冠を呈する、樹高１２ｍ、目通り周囲４．６５ｍのエドヒガンザクラ。推定樹齢は３００年程で、戦前までこの地にあったお堂との関係が考えられる。地元には４００年程前に遊行僧がこの樹を植えていったという伝承がある。</t>
  </si>
  <si>
    <t>姿見池のマメシジミ</t>
  </si>
  <si>
    <t>平１８２３５～１８２４０番地</t>
  </si>
  <si>
    <t>マメシジミは二枚貝綱マルスダレガイ目マメシジミ科に属する。小形の二枚貝で、殻長は３～５ｍｍを測る。地域指定された姿見の池は、西海ノ口西方の山腹（標高約１，１００ｍ付近）にあり、面積は１．５㎡の小さなものである。本種は今のところ市内ではここだけに確認されている貴重種である。</t>
  </si>
  <si>
    <t>大倉のイチイ</t>
  </si>
  <si>
    <t>美麻２１７７０番地</t>
  </si>
  <si>
    <r>
      <t>昭和８年</t>
    </r>
    <r>
      <rPr>
        <sz val="9"/>
        <color theme="1"/>
        <rFont val="ＭＳ 明朝"/>
        <family val="1"/>
        <charset val="128"/>
      </rPr>
      <t>(</t>
    </r>
    <r>
      <rPr>
        <sz val="9"/>
        <color theme="1"/>
        <rFont val="ＭＳ Ｐゴシック"/>
        <family val="3"/>
        <charset val="128"/>
      </rPr>
      <t>１９３３</t>
    </r>
    <r>
      <rPr>
        <sz val="9"/>
        <color theme="1"/>
        <rFont val="ＭＳ 明朝"/>
        <family val="1"/>
        <charset val="128"/>
      </rPr>
      <t>)</t>
    </r>
    <r>
      <rPr>
        <sz val="9"/>
        <color theme="1"/>
        <rFont val="ＭＳ Ｐゴシック"/>
        <family val="3"/>
        <charset val="128"/>
      </rPr>
      <t>に旧長野県天然記念物指定。昭和４４年</t>
    </r>
    <r>
      <rPr>
        <sz val="9"/>
        <color theme="1"/>
        <rFont val="ＭＳ 明朝"/>
        <family val="1"/>
        <charset val="128"/>
      </rPr>
      <t>(</t>
    </r>
    <r>
      <rPr>
        <sz val="9"/>
        <color theme="1"/>
        <rFont val="ＭＳ Ｐゴシック"/>
        <family val="3"/>
        <charset val="128"/>
      </rPr>
      <t>１９６９</t>
    </r>
    <r>
      <rPr>
        <sz val="9"/>
        <color theme="1"/>
        <rFont val="ＭＳ 明朝"/>
        <family val="1"/>
        <charset val="128"/>
      </rPr>
      <t>)</t>
    </r>
    <r>
      <rPr>
        <sz val="9"/>
        <color theme="1"/>
        <rFont val="ＭＳ Ｐゴシック"/>
        <family val="3"/>
        <charset val="128"/>
      </rPr>
      <t>、県条例の全面改正により指定解除。坪庭に鉢植えしたのが大木になったと伝えられ、伝承では樹齢約１０００年と言われている。目通り４</t>
    </r>
    <r>
      <rPr>
        <sz val="9"/>
        <color theme="1"/>
        <rFont val="ＭＳ 明朝"/>
        <family val="1"/>
        <charset val="128"/>
      </rPr>
      <t>.</t>
    </r>
    <r>
      <rPr>
        <sz val="9"/>
        <color theme="1"/>
        <rFont val="ＭＳ Ｐゴシック"/>
        <family val="3"/>
        <charset val="128"/>
      </rPr>
      <t>７３ｍ、根周り４．７ｍ、高さ２１．３ｍ。</t>
    </r>
  </si>
  <si>
    <t>水上神社の大杉</t>
  </si>
  <si>
    <r>
      <t>水上神社の御神木。目通り６．３０ｍ、根周り７．６７ｍ、高さ５３．１ｍ。伝承では樹齢７５０年余りと推定されている。「水上神社の小楢と杉」の名称で昭和２２年</t>
    </r>
    <r>
      <rPr>
        <sz val="9"/>
        <color theme="1"/>
        <rFont val="ＭＳ 明朝"/>
        <family val="1"/>
        <charset val="128"/>
      </rPr>
      <t>(</t>
    </r>
    <r>
      <rPr>
        <sz val="9"/>
        <color theme="1"/>
        <rFont val="ＭＳ Ｐゴシック"/>
        <family val="3"/>
        <charset val="128"/>
      </rPr>
      <t>１９４７</t>
    </r>
    <r>
      <rPr>
        <sz val="9"/>
        <color theme="1"/>
        <rFont val="ＭＳ 明朝"/>
        <family val="1"/>
        <charset val="128"/>
      </rPr>
      <t>)</t>
    </r>
    <r>
      <rPr>
        <sz val="9"/>
        <color theme="1"/>
        <rFont val="ＭＳ Ｐゴシック"/>
        <family val="3"/>
        <charset val="128"/>
      </rPr>
      <t>に旧長野県天然記念物指定。楢は現在枯れて切り株のみが残る。</t>
    </r>
  </si>
  <si>
    <t>若栗のアオナシ</t>
  </si>
  <si>
    <r>
      <t>美麻３４１６１番地ロ</t>
    </r>
    <r>
      <rPr>
        <sz val="9"/>
        <color theme="1"/>
        <rFont val="ＭＳ 明朝"/>
        <family val="1"/>
        <charset val="128"/>
      </rPr>
      <t xml:space="preserve"> </t>
    </r>
    <r>
      <rPr>
        <sz val="9"/>
        <color theme="1"/>
        <rFont val="ＭＳ Ｐゴシック"/>
        <family val="3"/>
        <charset val="128"/>
      </rPr>
      <t>若栗峠</t>
    </r>
  </si>
  <si>
    <t>目通り周囲４．３１ｍ、樹高１６．８ｍ。成長に伴う融合性の枝幹、均整のとれた美しい立木。基部には洞が見られるが、近年保全対策も取られて樹勢も安定している。</t>
  </si>
  <si>
    <t>地域を定めず指定されているもの（種指定）。</t>
  </si>
  <si>
    <t>大町市のヌマカイメン</t>
  </si>
  <si>
    <t>大字平の中綱湖と木崎湖下流の農具川に生息。かつては世界各地に広く分布していたが、開発や汚染などにより急速に姿を消しつつある淡水海綿の一種である。長野県下では大町市のみに生息し、希少かつ貴重な生物である。</t>
  </si>
  <si>
    <t>大町市のカワシンジュガイ</t>
  </si>
  <si>
    <t>北緯４０～５５度の範囲に分布する純北方系の淡水性二枚貝。氷河期には多く生息していたが、その終わりとともに高冷地の渓流にのみ姿を残すようになった｢生きた化石｣ともいえる貴重な生物。県指定地以外の農具川と居谷里沢及びその周辺支流（水路）に生息。</t>
  </si>
  <si>
    <t>大町市のキザキコミズシタダミ</t>
  </si>
  <si>
    <t>キザキコミズシタダミは日本産ミズシタダミ科の希少種の１種に数えられている。カワシンジュガイとともに氷河期の生き証人（遺存種）ともいえる貝である。国内では大町市平の木崎湖と中綱湖にしか生息していないと考えられる貴重な固有種である。</t>
  </si>
  <si>
    <t>文　　化　　財</t>
    <rPh sb="0" eb="1">
      <t>ブン</t>
    </rPh>
    <rPh sb="3" eb="4">
      <t>カ</t>
    </rPh>
    <rPh sb="6" eb="7">
      <t>ザイ</t>
    </rPh>
    <phoneticPr fontId="5"/>
  </si>
  <si>
    <t>社１１５９番地</t>
    <phoneticPr fontId="4"/>
  </si>
  <si>
    <t>社４８８６番地２</t>
    <phoneticPr fontId="4"/>
  </si>
  <si>
    <t>八坂１６２５番地</t>
    <phoneticPr fontId="4"/>
  </si>
  <si>
    <r>
      <t>主屋は桁行１４間・梁行６間・建坪８４坪</t>
    </r>
    <r>
      <rPr>
        <sz val="9"/>
        <color theme="1"/>
        <rFont val="ＭＳ 明朝"/>
        <family val="1"/>
        <charset val="128"/>
      </rPr>
      <t>(</t>
    </r>
    <r>
      <rPr>
        <sz val="9"/>
        <color theme="1"/>
        <rFont val="ＭＳ Ｐゴシック"/>
        <family val="3"/>
        <charset val="128"/>
      </rPr>
      <t>約２７８㎡</t>
    </r>
    <r>
      <rPr>
        <sz val="9"/>
        <color theme="1"/>
        <rFont val="ＭＳ 明朝"/>
        <family val="1"/>
        <charset val="128"/>
      </rPr>
      <t>)</t>
    </r>
    <r>
      <rPr>
        <sz val="9"/>
        <color theme="1"/>
        <rFont val="ＭＳ Ｐゴシック"/>
        <family val="3"/>
        <charset val="128"/>
      </rPr>
      <t>の木造平屋・茅葺・寄棟造で、元禄１１年</t>
    </r>
    <r>
      <rPr>
        <sz val="9"/>
        <color theme="1"/>
        <rFont val="ＭＳ 明朝"/>
        <family val="1"/>
        <charset val="128"/>
      </rPr>
      <t>(</t>
    </r>
    <r>
      <rPr>
        <sz val="9"/>
        <color theme="1"/>
        <rFont val="ＭＳ Ｐゴシック"/>
        <family val="3"/>
        <charset val="128"/>
      </rPr>
      <t>１６９８</t>
    </r>
    <r>
      <rPr>
        <sz val="9"/>
        <color theme="1"/>
        <rFont val="ＭＳ 明朝"/>
        <family val="1"/>
        <charset val="128"/>
      </rPr>
      <t>)</t>
    </r>
    <r>
      <rPr>
        <sz val="9"/>
        <color theme="1"/>
        <rFont val="ＭＳ Ｐゴシック"/>
        <family val="3"/>
        <charset val="128"/>
      </rPr>
      <t>建立と建築年代が明らかな民家として県内最古で、大きさも当時の民家としては県内屈指で、農村における居住形態を知る上で貴重である。
土蔵は桁行６間・梁行４間の切妻造で、安永９年(１７８０)と建築年代が判明するものとしては県下で古い例に属す。置屋根で軒支柱を立てて屋根の荷重を支える構造である。</t>
    </r>
    <phoneticPr fontId="4"/>
  </si>
  <si>
    <t>美麻１７６６８番地</t>
    <phoneticPr fontId="4"/>
  </si>
  <si>
    <t>平４９７６番地３</t>
    <phoneticPr fontId="4"/>
  </si>
  <si>
    <t>大町２１９９番地</t>
    <phoneticPr fontId="4"/>
  </si>
  <si>
    <t>大町６６６５番地イ</t>
    <phoneticPr fontId="4"/>
  </si>
  <si>
    <t>大町２０９７番地</t>
    <phoneticPr fontId="4"/>
  </si>
  <si>
    <t>社３９４５番地２</t>
    <phoneticPr fontId="4"/>
  </si>
  <si>
    <t>大町４７００番地</t>
    <phoneticPr fontId="4"/>
  </si>
  <si>
    <t>平１９５５番地３５５ほか</t>
    <phoneticPr fontId="4"/>
  </si>
  <si>
    <t>美麻３３４２番地</t>
    <phoneticPr fontId="4"/>
  </si>
  <si>
    <t>大町８２７９番地１０ほか</t>
    <phoneticPr fontId="4"/>
  </si>
  <si>
    <t>農具川水系　居谷里沢水系</t>
    <phoneticPr fontId="4"/>
  </si>
  <si>
    <t>大町４１８８番地</t>
    <phoneticPr fontId="4"/>
  </si>
  <si>
    <t>大町１５１４番地１</t>
    <phoneticPr fontId="4"/>
  </si>
  <si>
    <t>大黒町追分の石造大黒天像　附 版木</t>
    <phoneticPr fontId="4"/>
  </si>
  <si>
    <t>大町１１３４番地９</t>
    <phoneticPr fontId="4"/>
  </si>
  <si>
    <t>大町４７００番地　ほか</t>
    <phoneticPr fontId="4"/>
  </si>
  <si>
    <t>八坂５６９３番地</t>
    <phoneticPr fontId="4"/>
  </si>
  <si>
    <t>八坂１４６９５番地</t>
    <phoneticPr fontId="4"/>
  </si>
  <si>
    <t>八坂９６４１番地１</t>
    <phoneticPr fontId="4"/>
  </si>
  <si>
    <t>八坂９１７９番地４</t>
    <phoneticPr fontId="4"/>
  </si>
  <si>
    <t>美麻２６０３６番地</t>
    <phoneticPr fontId="4"/>
  </si>
  <si>
    <t>八坂２５７９４番地</t>
    <phoneticPr fontId="4"/>
  </si>
  <si>
    <t>美麻（新行）８３１６番地１</t>
    <phoneticPr fontId="4"/>
  </si>
  <si>
    <t>美麻（千見城山）２５４５０番地ロ－３ほか</t>
    <phoneticPr fontId="4"/>
  </si>
  <si>
    <t>美麻（大塩中村城山）８５５番地ほか</t>
    <phoneticPr fontId="4"/>
  </si>
  <si>
    <t>大町８０５６番地１</t>
    <phoneticPr fontId="4"/>
  </si>
  <si>
    <t>長野県大町岳陽高等学校のトキ標本</t>
    <phoneticPr fontId="4"/>
  </si>
  <si>
    <t>大町３６９１番地２</t>
    <phoneticPr fontId="4"/>
  </si>
  <si>
    <t>社２９３７番地１</t>
    <phoneticPr fontId="4"/>
  </si>
  <si>
    <t>大町２５７２番地１</t>
    <phoneticPr fontId="4"/>
  </si>
  <si>
    <t>平１２９８番地</t>
    <phoneticPr fontId="4"/>
  </si>
  <si>
    <t>大町４７２９番地</t>
    <phoneticPr fontId="4"/>
  </si>
  <si>
    <t>大町４７００番地ほか</t>
    <phoneticPr fontId="4"/>
  </si>
  <si>
    <t>美麻９１５２番地</t>
    <phoneticPr fontId="4"/>
  </si>
  <si>
    <t>平８０４０番地４４３　ほか</t>
    <phoneticPr fontId="4"/>
  </si>
  <si>
    <t>常盤６９６６番地</t>
    <phoneticPr fontId="4"/>
  </si>
  <si>
    <t>常盤８０６３番地５</t>
    <phoneticPr fontId="4"/>
  </si>
  <si>
    <t>常盤４２０３番地</t>
    <phoneticPr fontId="4"/>
  </si>
  <si>
    <r>
      <t>本殿は桁行３間・梁間２間・神明造・檜皮葺。中門（前殿・御門屋）は四脚門・切妻造・檜皮葺で、釣屋がこれらを連結している。ともに寛永１３年</t>
    </r>
    <r>
      <rPr>
        <sz val="9"/>
        <color theme="1"/>
        <rFont val="ＭＳ 明朝"/>
        <family val="1"/>
        <charset val="128"/>
      </rPr>
      <t>(</t>
    </r>
    <r>
      <rPr>
        <sz val="9"/>
        <color theme="1"/>
        <rFont val="ＭＳ Ｐゴシック"/>
        <family val="3"/>
        <charset val="128"/>
      </rPr>
      <t>１６３６</t>
    </r>
    <r>
      <rPr>
        <sz val="9"/>
        <color theme="1"/>
        <rFont val="ＭＳ 明朝"/>
        <family val="1"/>
        <charset val="128"/>
      </rPr>
      <t>)</t>
    </r>
    <r>
      <rPr>
        <sz val="9"/>
        <color theme="1"/>
        <rFont val="ＭＳ Ｐゴシック"/>
        <family val="3"/>
        <charset val="128"/>
      </rPr>
      <t>の造営で江戸時代初期の端正な建築である。本殿は神明造の建築物として、わが国で最古の様式を伝えていることで極めて高く評価されている。釣屋は附属指定。なお、伊勢神宮にならい２０年に一度行われる式年遷宮については、前回は令和元年（２０１９）に行われている。</t>
    </r>
    <phoneticPr fontId="4"/>
  </si>
  <si>
    <t>業種別・主な事故の型別労働災害発生状況</t>
    <rPh sb="0" eb="2">
      <t>ギョウシュ</t>
    </rPh>
    <rPh sb="2" eb="3">
      <t>ベツ</t>
    </rPh>
    <rPh sb="4" eb="5">
      <t>オモ</t>
    </rPh>
    <rPh sb="6" eb="8">
      <t>ジコ</t>
    </rPh>
    <rPh sb="9" eb="10">
      <t>カタ</t>
    </rPh>
    <rPh sb="10" eb="11">
      <t>ベツ</t>
    </rPh>
    <rPh sb="11" eb="13">
      <t>ロウドウ</t>
    </rPh>
    <rPh sb="13" eb="15">
      <t>サイガイ</t>
    </rPh>
    <rPh sb="15" eb="17">
      <t>ハッセイ</t>
    </rPh>
    <rPh sb="17" eb="19">
      <t>ジョウキョウ</t>
    </rPh>
    <phoneticPr fontId="5"/>
  </si>
  <si>
    <t>　　　　　　　業　種
主な事故の型</t>
    <rPh sb="7" eb="8">
      <t>ギョウ</t>
    </rPh>
    <rPh sb="9" eb="10">
      <t>タネ</t>
    </rPh>
    <phoneticPr fontId="5"/>
  </si>
  <si>
    <t>令和3年1月～12月集計</t>
    <phoneticPr fontId="5"/>
  </si>
  <si>
    <t>令和4年1月～12月集計</t>
    <phoneticPr fontId="5"/>
  </si>
  <si>
    <t>令和5年1月～12月集計</t>
    <phoneticPr fontId="5"/>
  </si>
  <si>
    <t>製造業</t>
    <rPh sb="0" eb="3">
      <t>セイゾウギョウ</t>
    </rPh>
    <phoneticPr fontId="5"/>
  </si>
  <si>
    <t>鉱業</t>
    <rPh sb="0" eb="1">
      <t>コウ</t>
    </rPh>
    <rPh sb="1" eb="2">
      <t>ギョウ</t>
    </rPh>
    <phoneticPr fontId="5"/>
  </si>
  <si>
    <t>建設業</t>
    <rPh sb="0" eb="3">
      <t>ケンセツギョウ</t>
    </rPh>
    <phoneticPr fontId="5"/>
  </si>
  <si>
    <t>運輸
貨物業</t>
    <rPh sb="0" eb="2">
      <t>ウンユ</t>
    </rPh>
    <rPh sb="3" eb="5">
      <t>カモツ</t>
    </rPh>
    <rPh sb="5" eb="6">
      <t>ギョウ</t>
    </rPh>
    <phoneticPr fontId="5"/>
  </si>
  <si>
    <t>林業</t>
    <rPh sb="0" eb="1">
      <t>ハヤシ</t>
    </rPh>
    <rPh sb="1" eb="2">
      <t>ギョウ</t>
    </rPh>
    <phoneticPr fontId="5"/>
  </si>
  <si>
    <t>左記
以外
の事業</t>
    <rPh sb="0" eb="2">
      <t>サキ</t>
    </rPh>
    <rPh sb="3" eb="5">
      <t>イガイ</t>
    </rPh>
    <rPh sb="7" eb="9">
      <t>ジギョウ</t>
    </rPh>
    <phoneticPr fontId="5"/>
  </si>
  <si>
    <t>合計</t>
    <rPh sb="0" eb="1">
      <t>ゴウ</t>
    </rPh>
    <rPh sb="1" eb="2">
      <t>ケイ</t>
    </rPh>
    <phoneticPr fontId="5"/>
  </si>
  <si>
    <t>構成比
（％）</t>
    <rPh sb="0" eb="3">
      <t>コウセイヒ</t>
    </rPh>
    <phoneticPr fontId="5"/>
  </si>
  <si>
    <t>墜落・転落</t>
    <rPh sb="0" eb="2">
      <t>ツイラク</t>
    </rPh>
    <rPh sb="3" eb="5">
      <t>テンラク</t>
    </rPh>
    <phoneticPr fontId="5"/>
  </si>
  <si>
    <t>転倒</t>
    <rPh sb="0" eb="2">
      <t>テントウ</t>
    </rPh>
    <phoneticPr fontId="5"/>
  </si>
  <si>
    <t>激突</t>
    <rPh sb="0" eb="2">
      <t>ゲキトツ</t>
    </rPh>
    <phoneticPr fontId="5"/>
  </si>
  <si>
    <t>飛来・落下</t>
    <rPh sb="0" eb="2">
      <t>ヒライ</t>
    </rPh>
    <rPh sb="3" eb="5">
      <t>ラッカ</t>
    </rPh>
    <phoneticPr fontId="5"/>
  </si>
  <si>
    <t>崩壊・倒壊</t>
    <rPh sb="0" eb="2">
      <t>ホウカイ</t>
    </rPh>
    <rPh sb="3" eb="5">
      <t>トウカイ</t>
    </rPh>
    <phoneticPr fontId="5"/>
  </si>
  <si>
    <t>激突され</t>
    <rPh sb="0" eb="2">
      <t>ゲキトツ</t>
    </rPh>
    <phoneticPr fontId="5"/>
  </si>
  <si>
    <t>はさまれ・巻き込まれ</t>
    <rPh sb="5" eb="6">
      <t>マ</t>
    </rPh>
    <rPh sb="7" eb="8">
      <t>コ</t>
    </rPh>
    <phoneticPr fontId="5"/>
  </si>
  <si>
    <t>3(1)</t>
    <phoneticPr fontId="5"/>
  </si>
  <si>
    <t>切れ・こすれ</t>
    <rPh sb="0" eb="1">
      <t>キ</t>
    </rPh>
    <phoneticPr fontId="5"/>
  </si>
  <si>
    <t>感電</t>
    <rPh sb="0" eb="2">
      <t>カンデン</t>
    </rPh>
    <phoneticPr fontId="5"/>
  </si>
  <si>
    <t>交通事故</t>
    <rPh sb="0" eb="2">
      <t>コウツウ</t>
    </rPh>
    <rPh sb="2" eb="4">
      <t>ジコ</t>
    </rPh>
    <phoneticPr fontId="5"/>
  </si>
  <si>
    <t>無理な動作</t>
    <rPh sb="0" eb="2">
      <t>ムリ</t>
    </rPh>
    <rPh sb="3" eb="5">
      <t>ドウサ</t>
    </rPh>
    <phoneticPr fontId="5"/>
  </si>
  <si>
    <t>上記以外</t>
    <rPh sb="0" eb="2">
      <t>ジョウキ</t>
    </rPh>
    <rPh sb="2" eb="4">
      <t>イガイ</t>
    </rPh>
    <phoneticPr fontId="5"/>
  </si>
  <si>
    <t>合　　　　計</t>
    <rPh sb="0" eb="1">
      <t>ゴウ</t>
    </rPh>
    <rPh sb="5" eb="6">
      <t>ケイ</t>
    </rPh>
    <phoneticPr fontId="5"/>
  </si>
  <si>
    <t>16(1)</t>
    <phoneticPr fontId="5"/>
  </si>
  <si>
    <t>構成比（％）</t>
    <rPh sb="0" eb="3">
      <t>コウセイヒ</t>
    </rPh>
    <phoneticPr fontId="5"/>
  </si>
  <si>
    <t>資料：大町労働基準監督署（労働者死傷病報告）　　</t>
    <rPh sb="0" eb="2">
      <t>シリョウ</t>
    </rPh>
    <rPh sb="3" eb="5">
      <t>オオマチ</t>
    </rPh>
    <rPh sb="5" eb="7">
      <t>ロウドウ</t>
    </rPh>
    <rPh sb="7" eb="9">
      <t>キジュン</t>
    </rPh>
    <rPh sb="9" eb="11">
      <t>カントク</t>
    </rPh>
    <rPh sb="11" eb="12">
      <t>ショ</t>
    </rPh>
    <rPh sb="13" eb="16">
      <t>ロウドウシャ</t>
    </rPh>
    <rPh sb="16" eb="18">
      <t>シショウ</t>
    </rPh>
    <rPh sb="18" eb="19">
      <t>ビョウ</t>
    </rPh>
    <rPh sb="19" eb="21">
      <t>ホウコク</t>
    </rPh>
    <phoneticPr fontId="5"/>
  </si>
  <si>
    <t>注）1.休業4日以上の労働災害（新型コロナウイルス感染症は除く）</t>
    <rPh sb="16" eb="18">
      <t>シンガタ</t>
    </rPh>
    <rPh sb="25" eb="28">
      <t>カンセンショウ</t>
    </rPh>
    <rPh sb="29" eb="30">
      <t>ノゾ</t>
    </rPh>
    <phoneticPr fontId="5"/>
  </si>
  <si>
    <t>2.（　）内は死亡の内数</t>
    <phoneticPr fontId="5"/>
  </si>
  <si>
    <t>保　　育　　施　　設</t>
    <rPh sb="0" eb="1">
      <t>タモツ</t>
    </rPh>
    <rPh sb="3" eb="4">
      <t>イク</t>
    </rPh>
    <rPh sb="6" eb="7">
      <t>ホドコ</t>
    </rPh>
    <rPh sb="9" eb="10">
      <t>セツ</t>
    </rPh>
    <phoneticPr fontId="5"/>
  </si>
  <si>
    <t>令和6年1月1日現在</t>
    <rPh sb="0" eb="1">
      <t>レイ</t>
    </rPh>
    <rPh sb="1" eb="2">
      <t>カズ</t>
    </rPh>
    <rPh sb="3" eb="4">
      <t>ネン</t>
    </rPh>
    <rPh sb="4" eb="5">
      <t>ヘイネン</t>
    </rPh>
    <rPh sb="5" eb="6">
      <t>ガツ</t>
    </rPh>
    <rPh sb="7" eb="8">
      <t>ニチ</t>
    </rPh>
    <rPh sb="8" eb="10">
      <t>ゲンザイ</t>
    </rPh>
    <phoneticPr fontId="5"/>
  </si>
  <si>
    <t>名　　称</t>
    <rPh sb="0" eb="1">
      <t>メイ</t>
    </rPh>
    <rPh sb="3" eb="4">
      <t>ショウ</t>
    </rPh>
    <phoneticPr fontId="5"/>
  </si>
  <si>
    <t>所在地</t>
    <rPh sb="0" eb="3">
      <t>ショザイチ</t>
    </rPh>
    <phoneticPr fontId="5"/>
  </si>
  <si>
    <t>開設年月日</t>
    <rPh sb="0" eb="2">
      <t>カイセツ</t>
    </rPh>
    <rPh sb="2" eb="5">
      <t>ネンガッピ</t>
    </rPh>
    <phoneticPr fontId="5"/>
  </si>
  <si>
    <t>児童
入所定員</t>
    <rPh sb="0" eb="2">
      <t>ジドウ</t>
    </rPh>
    <rPh sb="3" eb="5">
      <t>ニュウショ</t>
    </rPh>
    <rPh sb="5" eb="7">
      <t>テイイン</t>
    </rPh>
    <phoneticPr fontId="5"/>
  </si>
  <si>
    <t>建　　　　物</t>
    <rPh sb="0" eb="1">
      <t>ダテ</t>
    </rPh>
    <rPh sb="5" eb="6">
      <t>モノ</t>
    </rPh>
    <phoneticPr fontId="5"/>
  </si>
  <si>
    <t>屋外運動場</t>
    <rPh sb="0" eb="2">
      <t>オクガイ</t>
    </rPh>
    <rPh sb="2" eb="5">
      <t>ウンドウジョウ</t>
    </rPh>
    <phoneticPr fontId="5"/>
  </si>
  <si>
    <t>総面積</t>
    <rPh sb="0" eb="3">
      <t>ソウメンセキ</t>
    </rPh>
    <phoneticPr fontId="5"/>
  </si>
  <si>
    <t>保育室</t>
    <rPh sb="0" eb="3">
      <t>ホイクシツ</t>
    </rPh>
    <phoneticPr fontId="5"/>
  </si>
  <si>
    <t>㎡</t>
    <phoneticPr fontId="5"/>
  </si>
  <si>
    <t>かえで保育園</t>
    <rPh sb="3" eb="6">
      <t>ホイクエン</t>
    </rPh>
    <phoneticPr fontId="5"/>
  </si>
  <si>
    <t>大町2297-2</t>
    <rPh sb="0" eb="2">
      <t>オオマチ</t>
    </rPh>
    <phoneticPr fontId="5"/>
  </si>
  <si>
    <t>S27.7.2</t>
  </si>
  <si>
    <t>はなのき保育園</t>
    <rPh sb="4" eb="7">
      <t>ホイクエン</t>
    </rPh>
    <phoneticPr fontId="5"/>
  </si>
  <si>
    <t>大町3385-2</t>
    <rPh sb="0" eb="2">
      <t>オオマチ</t>
    </rPh>
    <phoneticPr fontId="5"/>
  </si>
  <si>
    <t>S29.3.25</t>
  </si>
  <si>
    <t>あすなろ保育園</t>
    <rPh sb="4" eb="7">
      <t>ホイクエン</t>
    </rPh>
    <phoneticPr fontId="5"/>
  </si>
  <si>
    <t>常盤3601-19</t>
    <rPh sb="0" eb="2">
      <t>トキワ</t>
    </rPh>
    <phoneticPr fontId="5"/>
  </si>
  <si>
    <t>S36.10.2</t>
  </si>
  <si>
    <t>しらかば保育園</t>
    <rPh sb="4" eb="7">
      <t>ホイクエン</t>
    </rPh>
    <phoneticPr fontId="5"/>
  </si>
  <si>
    <t>平9365-4</t>
    <rPh sb="0" eb="1">
      <t>タイラ</t>
    </rPh>
    <phoneticPr fontId="5"/>
  </si>
  <si>
    <t>S40.4.1
(H15.4改)</t>
  </si>
  <si>
    <t>どんぐり保育園</t>
    <rPh sb="4" eb="7">
      <t>ホイクエン</t>
    </rPh>
    <phoneticPr fontId="5"/>
  </si>
  <si>
    <t>社4682-27</t>
    <rPh sb="0" eb="1">
      <t>ヤシロ</t>
    </rPh>
    <phoneticPr fontId="5"/>
  </si>
  <si>
    <t>S42.4.1
(H11.13改)</t>
    <rPh sb="15" eb="16">
      <t>カイ</t>
    </rPh>
    <phoneticPr fontId="5"/>
  </si>
  <si>
    <t>たけのこ保育園</t>
    <rPh sb="4" eb="7">
      <t>ホイクエン</t>
    </rPh>
    <phoneticPr fontId="5"/>
  </si>
  <si>
    <t>八坂1074</t>
  </si>
  <si>
    <t>H5.4.1
(H18.1.2)</t>
  </si>
  <si>
    <t>みあさ保育園</t>
    <rPh sb="3" eb="6">
      <t>ホイクエン</t>
    </rPh>
    <phoneticPr fontId="5"/>
  </si>
  <si>
    <t>美麻11780-9</t>
  </si>
  <si>
    <t>S61.2</t>
  </si>
  <si>
    <t>くるみ保育園</t>
    <rPh sb="3" eb="6">
      <t>ホイクエン</t>
    </rPh>
    <phoneticPr fontId="5"/>
  </si>
  <si>
    <t>大町5560-26</t>
    <rPh sb="0" eb="2">
      <t>オオマチ</t>
    </rPh>
    <phoneticPr fontId="5"/>
  </si>
  <si>
    <t>H23.4.2</t>
  </si>
  <si>
    <t>資料：子育て支援課</t>
    <rPh sb="0" eb="2">
      <t>シリョウ</t>
    </rPh>
    <rPh sb="3" eb="5">
      <t>コソダ</t>
    </rPh>
    <rPh sb="6" eb="8">
      <t>シエン</t>
    </rPh>
    <rPh sb="8" eb="9">
      <t>カ</t>
    </rPh>
    <phoneticPr fontId="5"/>
  </si>
  <si>
    <t>保育園の入園児童の推移</t>
    <rPh sb="0" eb="3">
      <t>ホイクエン</t>
    </rPh>
    <rPh sb="4" eb="6">
      <t>ニュウエン</t>
    </rPh>
    <rPh sb="6" eb="8">
      <t>ジドウ</t>
    </rPh>
    <rPh sb="9" eb="11">
      <t>スイイ</t>
    </rPh>
    <phoneticPr fontId="5"/>
  </si>
  <si>
    <t>年　　度</t>
    <rPh sb="0" eb="1">
      <t>トシ</t>
    </rPh>
    <rPh sb="3" eb="4">
      <t>タビ</t>
    </rPh>
    <phoneticPr fontId="5"/>
  </si>
  <si>
    <t>うち　　　　3歳未満児</t>
    <rPh sb="7" eb="8">
      <t>サイ</t>
    </rPh>
    <rPh sb="8" eb="10">
      <t>ミマン</t>
    </rPh>
    <rPh sb="10" eb="11">
      <t>ジ</t>
    </rPh>
    <phoneticPr fontId="5"/>
  </si>
  <si>
    <t>3歳未満児</t>
    <rPh sb="1" eb="2">
      <t>サイ</t>
    </rPh>
    <rPh sb="2" eb="4">
      <t>ミマン</t>
    </rPh>
    <rPh sb="4" eb="5">
      <t>ジ</t>
    </rPh>
    <phoneticPr fontId="5"/>
  </si>
  <si>
    <t>平成24年度</t>
    <rPh sb="0" eb="2">
      <t>ヘイセイ</t>
    </rPh>
    <rPh sb="4" eb="5">
      <t>ネン</t>
    </rPh>
    <rPh sb="5" eb="6">
      <t>ド</t>
    </rPh>
    <phoneticPr fontId="5"/>
  </si>
  <si>
    <t>令和2年度</t>
    <rPh sb="0" eb="2">
      <t>レイワ</t>
    </rPh>
    <rPh sb="3" eb="5">
      <t>ネンド</t>
    </rPh>
    <phoneticPr fontId="5"/>
  </si>
  <si>
    <t>注）1.数値は1年間の延べ数。</t>
    <phoneticPr fontId="5"/>
  </si>
  <si>
    <t>　　2.もみのき保育園、こぶし保育園は平成23年3月31日に閉園。</t>
    <rPh sb="8" eb="11">
      <t>ホイクエン</t>
    </rPh>
    <rPh sb="15" eb="18">
      <t>ホイクエン</t>
    </rPh>
    <rPh sb="19" eb="21">
      <t>ヘイセイ</t>
    </rPh>
    <rPh sb="23" eb="24">
      <t>ネン</t>
    </rPh>
    <rPh sb="25" eb="26">
      <t>ガツ</t>
    </rPh>
    <rPh sb="28" eb="29">
      <t>ニチ</t>
    </rPh>
    <rPh sb="30" eb="32">
      <t>ヘイエン</t>
    </rPh>
    <phoneticPr fontId="5"/>
  </si>
  <si>
    <t>　　3.かえで保育園は、平成30年4月1日から休園、令和6年3月31日に閉園。</t>
    <rPh sb="7" eb="10">
      <t>ホイクエン</t>
    </rPh>
    <rPh sb="12" eb="14">
      <t>ヘイセイ</t>
    </rPh>
    <rPh sb="16" eb="17">
      <t>ネン</t>
    </rPh>
    <rPh sb="18" eb="19">
      <t>ガツ</t>
    </rPh>
    <rPh sb="20" eb="21">
      <t>ニチ</t>
    </rPh>
    <rPh sb="23" eb="25">
      <t>キュウエン</t>
    </rPh>
    <rPh sb="26" eb="28">
      <t>レイワ</t>
    </rPh>
    <rPh sb="29" eb="30">
      <t>ネン</t>
    </rPh>
    <rPh sb="31" eb="32">
      <t>ガツ</t>
    </rPh>
    <rPh sb="34" eb="35">
      <t>ニチ</t>
    </rPh>
    <rPh sb="36" eb="38">
      <t>ヘイエン</t>
    </rPh>
    <phoneticPr fontId="5"/>
  </si>
  <si>
    <r>
      <t>　　4.みあさ保育園は、令和5年4月1日から休園中</t>
    </r>
    <r>
      <rPr>
        <sz val="9"/>
        <color indexed="10"/>
        <rFont val="ＭＳ ゴシック"/>
        <family val="3"/>
        <charset val="128"/>
      </rPr>
      <t>。</t>
    </r>
    <rPh sb="7" eb="10">
      <t>ホイクエン</t>
    </rPh>
    <rPh sb="12" eb="14">
      <t>レイワ</t>
    </rPh>
    <rPh sb="15" eb="16">
      <t>ネン</t>
    </rPh>
    <rPh sb="17" eb="18">
      <t>ガツ</t>
    </rPh>
    <rPh sb="19" eb="20">
      <t>ニチ</t>
    </rPh>
    <rPh sb="22" eb="25">
      <t>キュウエンチュウ</t>
    </rPh>
    <phoneticPr fontId="5"/>
  </si>
  <si>
    <t>国民健康保険被保険者数・決算状況</t>
    <rPh sb="0" eb="2">
      <t>コクミン</t>
    </rPh>
    <rPh sb="2" eb="4">
      <t>ケンコウ</t>
    </rPh>
    <rPh sb="4" eb="6">
      <t>ホケン</t>
    </rPh>
    <rPh sb="6" eb="10">
      <t>ヒホケンシャ</t>
    </rPh>
    <rPh sb="10" eb="11">
      <t>スウ</t>
    </rPh>
    <rPh sb="12" eb="14">
      <t>ケッサン</t>
    </rPh>
    <rPh sb="14" eb="16">
      <t>ジョウキョウ</t>
    </rPh>
    <phoneticPr fontId="5"/>
  </si>
  <si>
    <t>被　保　険　者</t>
    <rPh sb="0" eb="1">
      <t>ヒ</t>
    </rPh>
    <rPh sb="2" eb="3">
      <t>タモツ</t>
    </rPh>
    <rPh sb="4" eb="5">
      <t>ケン</t>
    </rPh>
    <rPh sb="6" eb="7">
      <t>モノ</t>
    </rPh>
    <phoneticPr fontId="5"/>
  </si>
  <si>
    <t>決　　算　　状　　況</t>
    <rPh sb="0" eb="1">
      <t>ケツ</t>
    </rPh>
    <rPh sb="3" eb="4">
      <t>サン</t>
    </rPh>
    <rPh sb="6" eb="7">
      <t>ジョウ</t>
    </rPh>
    <rPh sb="9" eb="10">
      <t>イワン</t>
    </rPh>
    <phoneticPr fontId="5"/>
  </si>
  <si>
    <t>保　　険　　税</t>
    <rPh sb="0" eb="1">
      <t>タモツ</t>
    </rPh>
    <rPh sb="3" eb="4">
      <t>ケン</t>
    </rPh>
    <rPh sb="6" eb="7">
      <t>ゼイ</t>
    </rPh>
    <phoneticPr fontId="5"/>
  </si>
  <si>
    <t>人　　数</t>
    <rPh sb="0" eb="1">
      <t>ヒト</t>
    </rPh>
    <rPh sb="3" eb="4">
      <t>カズ</t>
    </rPh>
    <phoneticPr fontId="5"/>
  </si>
  <si>
    <t>歳入総額</t>
    <rPh sb="0" eb="1">
      <t>トシ</t>
    </rPh>
    <rPh sb="1" eb="2">
      <t>イ</t>
    </rPh>
    <rPh sb="2" eb="4">
      <t>ソウガク</t>
    </rPh>
    <phoneticPr fontId="5"/>
  </si>
  <si>
    <t>歳出総額</t>
    <rPh sb="0" eb="1">
      <t>トシ</t>
    </rPh>
    <rPh sb="1" eb="2">
      <t>デ</t>
    </rPh>
    <rPh sb="2" eb="4">
      <t>ソウガク</t>
    </rPh>
    <phoneticPr fontId="5"/>
  </si>
  <si>
    <t>決算剰余金</t>
    <rPh sb="0" eb="2">
      <t>ケッサン</t>
    </rPh>
    <rPh sb="2" eb="5">
      <t>ジョウヨキン</t>
    </rPh>
    <phoneticPr fontId="5"/>
  </si>
  <si>
    <t>調定額</t>
    <rPh sb="0" eb="1">
      <t>チョウ</t>
    </rPh>
    <rPh sb="1" eb="2">
      <t>テイ</t>
    </rPh>
    <rPh sb="2" eb="3">
      <t>ガク</t>
    </rPh>
    <phoneticPr fontId="5"/>
  </si>
  <si>
    <t>収入済額</t>
    <rPh sb="0" eb="2">
      <t>シュウニュウ</t>
    </rPh>
    <rPh sb="2" eb="3">
      <t>スミ</t>
    </rPh>
    <rPh sb="3" eb="4">
      <t>ガク</t>
    </rPh>
    <phoneticPr fontId="5"/>
  </si>
  <si>
    <t>千円</t>
    <rPh sb="0" eb="2">
      <t>センエン</t>
    </rPh>
    <phoneticPr fontId="5"/>
  </si>
  <si>
    <t>16</t>
  </si>
  <si>
    <t>17</t>
  </si>
  <si>
    <t>18</t>
  </si>
  <si>
    <t>19</t>
  </si>
  <si>
    <t>20</t>
  </si>
  <si>
    <t>21</t>
  </si>
  <si>
    <t>22</t>
  </si>
  <si>
    <t>23</t>
  </si>
  <si>
    <t>24</t>
  </si>
  <si>
    <t>25</t>
  </si>
  <si>
    <t>26</t>
  </si>
  <si>
    <t>27</t>
  </si>
  <si>
    <t>28</t>
  </si>
  <si>
    <t>29</t>
  </si>
  <si>
    <t>30</t>
  </si>
  <si>
    <t>資料：国民健康保険事業年報</t>
    <rPh sb="0" eb="2">
      <t>シリョウ</t>
    </rPh>
    <rPh sb="3" eb="4">
      <t>クニ</t>
    </rPh>
    <rPh sb="4" eb="5">
      <t>タミ</t>
    </rPh>
    <rPh sb="5" eb="7">
      <t>ケンコウ</t>
    </rPh>
    <rPh sb="7" eb="9">
      <t>ホケン</t>
    </rPh>
    <rPh sb="9" eb="11">
      <t>ジギョウ</t>
    </rPh>
    <rPh sb="11" eb="13">
      <t>ネンポウ</t>
    </rPh>
    <phoneticPr fontId="5"/>
  </si>
  <si>
    <t>注）</t>
    <rPh sb="0" eb="1">
      <t>チュウ</t>
    </rPh>
    <phoneticPr fontId="5"/>
  </si>
  <si>
    <t>1　被保険者世帯数及び人数は年度平均</t>
    <rPh sb="2" eb="6">
      <t>ヒホケンシャ</t>
    </rPh>
    <rPh sb="6" eb="9">
      <t>セタイスウ</t>
    </rPh>
    <rPh sb="9" eb="10">
      <t>オヨ</t>
    </rPh>
    <rPh sb="11" eb="13">
      <t>ニンズウ</t>
    </rPh>
    <rPh sb="14" eb="16">
      <t>ネンド</t>
    </rPh>
    <rPh sb="16" eb="18">
      <t>ヘイキン</t>
    </rPh>
    <phoneticPr fontId="5"/>
  </si>
  <si>
    <t>2　保険税は退職を含む現年度分（平成12年度からは介護分を含む）</t>
    <rPh sb="2" eb="4">
      <t>ホケン</t>
    </rPh>
    <rPh sb="4" eb="5">
      <t>ゼイ</t>
    </rPh>
    <rPh sb="6" eb="8">
      <t>タイショク</t>
    </rPh>
    <rPh sb="9" eb="10">
      <t>フク</t>
    </rPh>
    <rPh sb="11" eb="12">
      <t>ゲン</t>
    </rPh>
    <rPh sb="12" eb="13">
      <t>ネン</t>
    </rPh>
    <rPh sb="13" eb="14">
      <t>ド</t>
    </rPh>
    <rPh sb="14" eb="15">
      <t>ブン</t>
    </rPh>
    <rPh sb="16" eb="18">
      <t>ヘイセイ</t>
    </rPh>
    <rPh sb="20" eb="22">
      <t>ネンド</t>
    </rPh>
    <rPh sb="25" eb="27">
      <t>カイゴ</t>
    </rPh>
    <rPh sb="27" eb="28">
      <t>ブン</t>
    </rPh>
    <rPh sb="29" eb="30">
      <t>フク</t>
    </rPh>
    <phoneticPr fontId="5"/>
  </si>
  <si>
    <t xml:space="preserve"> </t>
    <phoneticPr fontId="5"/>
  </si>
  <si>
    <t>国民健康保険給付状況</t>
    <rPh sb="0" eb="2">
      <t>コクミン</t>
    </rPh>
    <rPh sb="2" eb="4">
      <t>ケンコウ</t>
    </rPh>
    <rPh sb="4" eb="6">
      <t>ホケン</t>
    </rPh>
    <rPh sb="6" eb="8">
      <t>キュウフ</t>
    </rPh>
    <rPh sb="8" eb="10">
      <t>ジョウキョウ</t>
    </rPh>
    <phoneticPr fontId="5"/>
  </si>
  <si>
    <t>療養給付費</t>
    <rPh sb="0" eb="2">
      <t>リョウヨウ</t>
    </rPh>
    <rPh sb="2" eb="4">
      <t>キュウフ</t>
    </rPh>
    <rPh sb="4" eb="5">
      <t>ヒ</t>
    </rPh>
    <phoneticPr fontId="5"/>
  </si>
  <si>
    <t>療　　養　　費</t>
    <rPh sb="0" eb="1">
      <t>リョウ</t>
    </rPh>
    <rPh sb="3" eb="4">
      <t>マモル</t>
    </rPh>
    <rPh sb="6" eb="7">
      <t>ヒ</t>
    </rPh>
    <phoneticPr fontId="5"/>
  </si>
  <si>
    <t>出産育児一時金</t>
    <rPh sb="0" eb="2">
      <t>シュッサン</t>
    </rPh>
    <rPh sb="2" eb="4">
      <t>イクジ</t>
    </rPh>
    <rPh sb="4" eb="7">
      <t>イチジキン</t>
    </rPh>
    <phoneticPr fontId="5"/>
  </si>
  <si>
    <t>葬祭費</t>
    <rPh sb="0" eb="2">
      <t>ソウサイ</t>
    </rPh>
    <rPh sb="2" eb="3">
      <t>ヒ</t>
    </rPh>
    <phoneticPr fontId="5"/>
  </si>
  <si>
    <t>高額療養費</t>
    <rPh sb="0" eb="2">
      <t>コウガク</t>
    </rPh>
    <rPh sb="2" eb="5">
      <t>リョウヨウヒ</t>
    </rPh>
    <phoneticPr fontId="5"/>
  </si>
  <si>
    <t>件数</t>
    <rPh sb="0" eb="2">
      <t>ケンスウ</t>
    </rPh>
    <phoneticPr fontId="5"/>
  </si>
  <si>
    <t>支出額</t>
    <rPh sb="0" eb="2">
      <t>シシュツ</t>
    </rPh>
    <rPh sb="2" eb="3">
      <t>ガク</t>
    </rPh>
    <phoneticPr fontId="5"/>
  </si>
  <si>
    <t>（助産費）</t>
    <rPh sb="1" eb="3">
      <t>ジョサン</t>
    </rPh>
    <rPh sb="3" eb="4">
      <t>ヒ</t>
    </rPh>
    <phoneticPr fontId="5"/>
  </si>
  <si>
    <t>平成15年度</t>
    <rPh sb="0" eb="1">
      <t>ヘイ</t>
    </rPh>
    <rPh sb="1" eb="2">
      <t>セイ</t>
    </rPh>
    <rPh sb="4" eb="6">
      <t>ネンド</t>
    </rPh>
    <phoneticPr fontId="5"/>
  </si>
  <si>
    <t>資料：国民健康保険事業年報</t>
    <rPh sb="0" eb="2">
      <t>シリョウ</t>
    </rPh>
    <rPh sb="3" eb="5">
      <t>コクミン</t>
    </rPh>
    <rPh sb="5" eb="7">
      <t>ケンコウ</t>
    </rPh>
    <rPh sb="7" eb="9">
      <t>ホケン</t>
    </rPh>
    <rPh sb="9" eb="11">
      <t>ジギョウ</t>
    </rPh>
    <rPh sb="11" eb="13">
      <t>ネンポウ</t>
    </rPh>
    <phoneticPr fontId="5"/>
  </si>
  <si>
    <t>2　平成14年度の療養の給付は11ヶ月給付</t>
    <rPh sb="2" eb="4">
      <t>ヘイセイ</t>
    </rPh>
    <rPh sb="6" eb="7">
      <t>ネン</t>
    </rPh>
    <rPh sb="7" eb="8">
      <t>ド</t>
    </rPh>
    <rPh sb="9" eb="11">
      <t>リョウヨウ</t>
    </rPh>
    <rPh sb="12" eb="14">
      <t>キュウフ</t>
    </rPh>
    <rPh sb="18" eb="19">
      <t>ゲツ</t>
    </rPh>
    <rPh sb="19" eb="21">
      <t>キュウフ</t>
    </rPh>
    <phoneticPr fontId="5"/>
  </si>
  <si>
    <t>1　療養給付費及び療養費、高額療養費は退職を含み、件数及び支出額は、第三者・返納金等を控除した数値</t>
    <rPh sb="2" eb="4">
      <t>リョウヨウ</t>
    </rPh>
    <rPh sb="4" eb="6">
      <t>キュウフ</t>
    </rPh>
    <rPh sb="6" eb="7">
      <t>ヒ</t>
    </rPh>
    <rPh sb="7" eb="8">
      <t>オヨ</t>
    </rPh>
    <rPh sb="9" eb="12">
      <t>リョウヨウヒ</t>
    </rPh>
    <rPh sb="13" eb="15">
      <t>コウガク</t>
    </rPh>
    <rPh sb="15" eb="18">
      <t>リョウヨウヒ</t>
    </rPh>
    <rPh sb="19" eb="21">
      <t>タイショク</t>
    </rPh>
    <rPh sb="22" eb="23">
      <t>フク</t>
    </rPh>
    <rPh sb="25" eb="27">
      <t>ケンスウ</t>
    </rPh>
    <rPh sb="27" eb="28">
      <t>オヨ</t>
    </rPh>
    <rPh sb="29" eb="32">
      <t>シシュツガク</t>
    </rPh>
    <rPh sb="34" eb="35">
      <t>ダイ</t>
    </rPh>
    <rPh sb="35" eb="37">
      <t>サンシャ</t>
    </rPh>
    <rPh sb="38" eb="40">
      <t>ヘンノウ</t>
    </rPh>
    <rPh sb="40" eb="41">
      <t>キン</t>
    </rPh>
    <rPh sb="41" eb="42">
      <t>トウ</t>
    </rPh>
    <rPh sb="43" eb="45">
      <t>コウジョ</t>
    </rPh>
    <rPh sb="47" eb="49">
      <t>スウチ</t>
    </rPh>
    <phoneticPr fontId="5"/>
  </si>
  <si>
    <t>福祉医療費特別給付金支給状況</t>
    <rPh sb="0" eb="2">
      <t>フクシ</t>
    </rPh>
    <rPh sb="2" eb="4">
      <t>イリョウ</t>
    </rPh>
    <rPh sb="4" eb="5">
      <t>ヒ</t>
    </rPh>
    <rPh sb="5" eb="7">
      <t>トクベツ</t>
    </rPh>
    <rPh sb="7" eb="10">
      <t>キュウフキン</t>
    </rPh>
    <rPh sb="10" eb="12">
      <t>シキュウ</t>
    </rPh>
    <rPh sb="12" eb="14">
      <t>ジョウキョウ</t>
    </rPh>
    <phoneticPr fontId="5"/>
  </si>
  <si>
    <t>乳幼児</t>
    <rPh sb="0" eb="3">
      <t>ニュウヨウジ</t>
    </rPh>
    <phoneticPr fontId="5"/>
  </si>
  <si>
    <t>心身障害者</t>
    <rPh sb="0" eb="2">
      <t>シンシン</t>
    </rPh>
    <rPh sb="2" eb="5">
      <t>ショウガイシャ</t>
    </rPh>
    <phoneticPr fontId="5"/>
  </si>
  <si>
    <t>精神障害者</t>
    <rPh sb="0" eb="2">
      <t>セイシン</t>
    </rPh>
    <rPh sb="2" eb="5">
      <t>ショウガイシャ</t>
    </rPh>
    <phoneticPr fontId="5"/>
  </si>
  <si>
    <t>母子・父子</t>
    <rPh sb="0" eb="2">
      <t>ボシ</t>
    </rPh>
    <rPh sb="3" eb="5">
      <t>フシ</t>
    </rPh>
    <phoneticPr fontId="5"/>
  </si>
  <si>
    <t>合計</t>
    <rPh sb="0" eb="2">
      <t>ゴウケイ</t>
    </rPh>
    <phoneticPr fontId="5"/>
  </si>
  <si>
    <t>平成25年度</t>
    <rPh sb="0" eb="2">
      <t>ヘイセイ</t>
    </rPh>
    <rPh sb="4" eb="6">
      <t>ネンド</t>
    </rPh>
    <phoneticPr fontId="5"/>
  </si>
  <si>
    <t>資料：市民課　</t>
    <rPh sb="0" eb="2">
      <t>シリョウ</t>
    </rPh>
    <rPh sb="3" eb="5">
      <t>シミン</t>
    </rPh>
    <rPh sb="5" eb="6">
      <t>カ</t>
    </rPh>
    <phoneticPr fontId="5"/>
  </si>
  <si>
    <t>注）1.老人福祉医療費は、平成20年度で制度廃止。対象者に22年度まで支給。</t>
    <rPh sb="0" eb="1">
      <t>チュウ</t>
    </rPh>
    <rPh sb="4" eb="6">
      <t>ロウジン</t>
    </rPh>
    <rPh sb="6" eb="8">
      <t>フクシ</t>
    </rPh>
    <rPh sb="8" eb="10">
      <t>イリョウ</t>
    </rPh>
    <rPh sb="10" eb="11">
      <t>ヒ</t>
    </rPh>
    <rPh sb="13" eb="15">
      <t>ヘイセイ</t>
    </rPh>
    <rPh sb="17" eb="18">
      <t>ネン</t>
    </rPh>
    <rPh sb="18" eb="19">
      <t>ド</t>
    </rPh>
    <rPh sb="20" eb="22">
      <t>セイド</t>
    </rPh>
    <rPh sb="22" eb="24">
      <t>ハイシ</t>
    </rPh>
    <rPh sb="25" eb="27">
      <t>タイショウ</t>
    </rPh>
    <rPh sb="27" eb="28">
      <t>シャ</t>
    </rPh>
    <rPh sb="31" eb="33">
      <t>ネンド</t>
    </rPh>
    <rPh sb="35" eb="37">
      <t>シキュウ</t>
    </rPh>
    <phoneticPr fontId="5"/>
  </si>
  <si>
    <t>　　2.乳幼児医療の対象年齢は以下のとおり拡大している。</t>
    <rPh sb="4" eb="7">
      <t>ニュウヨウジ</t>
    </rPh>
    <rPh sb="7" eb="9">
      <t>イリョウ</t>
    </rPh>
    <rPh sb="10" eb="12">
      <t>タイショウ</t>
    </rPh>
    <rPh sb="12" eb="14">
      <t>ネンレイ</t>
    </rPh>
    <rPh sb="15" eb="17">
      <t>イカ</t>
    </rPh>
    <rPh sb="21" eb="23">
      <t>カクダイ</t>
    </rPh>
    <phoneticPr fontId="5"/>
  </si>
  <si>
    <t>　　　平成24年4月「小学6年生まで」から「中学3年生まで」に拡大。</t>
    <rPh sb="3" eb="5">
      <t>ヘイセイ</t>
    </rPh>
    <rPh sb="7" eb="8">
      <t>ネン</t>
    </rPh>
    <rPh sb="9" eb="10">
      <t>ガツ</t>
    </rPh>
    <rPh sb="11" eb="13">
      <t>ショウガク</t>
    </rPh>
    <rPh sb="14" eb="16">
      <t>ネンセイ</t>
    </rPh>
    <rPh sb="22" eb="24">
      <t>チュウガク</t>
    </rPh>
    <rPh sb="25" eb="27">
      <t>ネンセイ</t>
    </rPh>
    <rPh sb="31" eb="33">
      <t>カクダイ</t>
    </rPh>
    <phoneticPr fontId="5"/>
  </si>
  <si>
    <t>年　度</t>
    <rPh sb="0" eb="1">
      <t>トシ</t>
    </rPh>
    <rPh sb="2" eb="3">
      <t>タビ</t>
    </rPh>
    <phoneticPr fontId="5"/>
  </si>
  <si>
    <t>高齢者世帯</t>
    <rPh sb="0" eb="3">
      <t>コウレイシャ</t>
    </rPh>
    <rPh sb="3" eb="5">
      <t>セタイ</t>
    </rPh>
    <phoneticPr fontId="5"/>
  </si>
  <si>
    <t>生活支援ホーム
ヘルプサービス</t>
    <rPh sb="0" eb="4">
      <t>セイ</t>
    </rPh>
    <phoneticPr fontId="5"/>
  </si>
  <si>
    <t>施設への入所</t>
    <rPh sb="0" eb="2">
      <t>シセツ</t>
    </rPh>
    <rPh sb="4" eb="6">
      <t>ニュウショ</t>
    </rPh>
    <phoneticPr fontId="5"/>
  </si>
  <si>
    <t>クラブ数</t>
    <rPh sb="3" eb="4">
      <t>スウ</t>
    </rPh>
    <phoneticPr fontId="5"/>
  </si>
  <si>
    <t>会員数</t>
    <rPh sb="0" eb="3">
      <t>カイインスウ</t>
    </rPh>
    <phoneticPr fontId="5"/>
  </si>
  <si>
    <t>補助金
交付額</t>
    <rPh sb="0" eb="3">
      <t>ホジョキン</t>
    </rPh>
    <rPh sb="4" eb="7">
      <t>コウフガク</t>
    </rPh>
    <phoneticPr fontId="5"/>
  </si>
  <si>
    <t>対象
者数</t>
    <rPh sb="0" eb="2">
      <t>タイショウ</t>
    </rPh>
    <rPh sb="3" eb="4">
      <t>モノ</t>
    </rPh>
    <rPh sb="4" eb="5">
      <t>スウ</t>
    </rPh>
    <phoneticPr fontId="5"/>
  </si>
  <si>
    <t>サービス時間</t>
    <rPh sb="4" eb="6">
      <t>ジカン</t>
    </rPh>
    <phoneticPr fontId="5"/>
  </si>
  <si>
    <t>養護
老人
ホーム</t>
    <phoneticPr fontId="5"/>
  </si>
  <si>
    <t>他市町村養護老人ホーム</t>
    <rPh sb="0" eb="1">
      <t>タ</t>
    </rPh>
    <rPh sb="1" eb="2">
      <t>シ</t>
    </rPh>
    <rPh sb="2" eb="4">
      <t>チョウソン</t>
    </rPh>
    <phoneticPr fontId="5"/>
  </si>
  <si>
    <t>　　 人</t>
    <rPh sb="3" eb="4">
      <t>ニン</t>
    </rPh>
    <phoneticPr fontId="5"/>
  </si>
  <si>
    <t>円　　　　　</t>
    <rPh sb="0" eb="1">
      <t>エン</t>
    </rPh>
    <phoneticPr fontId="5"/>
  </si>
  <si>
    <t>　世帯</t>
    <rPh sb="1" eb="3">
      <t>セタイ</t>
    </rPh>
    <phoneticPr fontId="5"/>
  </si>
  <si>
    <t xml:space="preserve">　時間　　 </t>
    <rPh sb="1" eb="3">
      <t>ジカン</t>
    </rPh>
    <phoneticPr fontId="5"/>
  </si>
  <si>
    <t>資料：福祉事務所</t>
    <rPh sb="0" eb="2">
      <t>シリョウ</t>
    </rPh>
    <rPh sb="3" eb="5">
      <t>フクシ</t>
    </rPh>
    <rPh sb="5" eb="7">
      <t>ジム</t>
    </rPh>
    <rPh sb="7" eb="8">
      <t>ショ</t>
    </rPh>
    <phoneticPr fontId="5"/>
  </si>
  <si>
    <t>高齢者福祉の状況</t>
    <rPh sb="0" eb="3">
      <t>コウレイシャ</t>
    </rPh>
    <rPh sb="3" eb="5">
      <t>フクシ</t>
    </rPh>
    <rPh sb="6" eb="8">
      <t>ジョウキョウ</t>
    </rPh>
    <phoneticPr fontId="5"/>
  </si>
  <si>
    <t>シニアクラブ</t>
    <phoneticPr fontId="5"/>
  </si>
  <si>
    <t>ひとり
暮らし
世帯数</t>
    <rPh sb="4" eb="5">
      <t>ク</t>
    </rPh>
    <rPh sb="8" eb="10">
      <t>セタイ</t>
    </rPh>
    <rPh sb="10" eb="11">
      <t>スウ</t>
    </rPh>
    <phoneticPr fontId="5"/>
  </si>
  <si>
    <t>高齢者のみ
世帯数</t>
    <rPh sb="0" eb="3">
      <t>コウレイシャ</t>
    </rPh>
    <rPh sb="6" eb="9">
      <t>セタイスウ</t>
    </rPh>
    <phoneticPr fontId="5"/>
  </si>
  <si>
    <t>福祉施設の利用状況</t>
    <rPh sb="0" eb="2">
      <t>フクシ</t>
    </rPh>
    <rPh sb="2" eb="4">
      <t>シセツ</t>
    </rPh>
    <rPh sb="5" eb="7">
      <t>リヨウ</t>
    </rPh>
    <rPh sb="7" eb="9">
      <t>ジョウキョウ</t>
    </rPh>
    <phoneticPr fontId="5"/>
  </si>
  <si>
    <t>年　　度</t>
    <rPh sb="0" eb="4">
      <t>ネンド</t>
    </rPh>
    <phoneticPr fontId="5"/>
  </si>
  <si>
    <t>総合福祉センター</t>
    <rPh sb="0" eb="2">
      <t>ソウゴウ</t>
    </rPh>
    <rPh sb="2" eb="4">
      <t>フクシ</t>
    </rPh>
    <phoneticPr fontId="5"/>
  </si>
  <si>
    <t>ふれあいプラザ</t>
    <phoneticPr fontId="5"/>
  </si>
  <si>
    <t>入　　浴</t>
    <rPh sb="0" eb="1">
      <t>イ</t>
    </rPh>
    <rPh sb="3" eb="4">
      <t>ヨク</t>
    </rPh>
    <phoneticPr fontId="5"/>
  </si>
  <si>
    <t>セ　ン　タ　ー</t>
    <phoneticPr fontId="5"/>
  </si>
  <si>
    <t>平成20年度</t>
    <rPh sb="0" eb="2">
      <t>ヘイセイ</t>
    </rPh>
    <rPh sb="4" eb="6">
      <t>ネンド</t>
    </rPh>
    <phoneticPr fontId="5"/>
  </si>
  <si>
    <t>総 数</t>
    <rPh sb="0" eb="1">
      <t>フサ</t>
    </rPh>
    <rPh sb="2" eb="3">
      <t>カズ</t>
    </rPh>
    <phoneticPr fontId="5"/>
  </si>
  <si>
    <t>視 覚</t>
    <rPh sb="0" eb="1">
      <t>シ</t>
    </rPh>
    <rPh sb="2" eb="3">
      <t>サトシ</t>
    </rPh>
    <phoneticPr fontId="5"/>
  </si>
  <si>
    <t>聴　覚
平　衡</t>
    <rPh sb="0" eb="1">
      <t>チョウ</t>
    </rPh>
    <rPh sb="2" eb="3">
      <t>サトシ</t>
    </rPh>
    <rPh sb="4" eb="5">
      <t>ヒラ</t>
    </rPh>
    <rPh sb="6" eb="7">
      <t>ハカリ</t>
    </rPh>
    <phoneticPr fontId="5"/>
  </si>
  <si>
    <t>音　声
言　語</t>
    <rPh sb="0" eb="1">
      <t>オト</t>
    </rPh>
    <rPh sb="2" eb="3">
      <t>コエ</t>
    </rPh>
    <rPh sb="4" eb="5">
      <t>ゲン</t>
    </rPh>
    <rPh sb="6" eb="7">
      <t>ゴ</t>
    </rPh>
    <phoneticPr fontId="5"/>
  </si>
  <si>
    <t>上　肢
切　断</t>
    <rPh sb="0" eb="1">
      <t>ウエ</t>
    </rPh>
    <rPh sb="2" eb="3">
      <t>アシ</t>
    </rPh>
    <rPh sb="4" eb="5">
      <t>キリ</t>
    </rPh>
    <rPh sb="6" eb="7">
      <t>ダン</t>
    </rPh>
    <phoneticPr fontId="5"/>
  </si>
  <si>
    <t>上　肢
機　能</t>
    <rPh sb="0" eb="1">
      <t>ウエ</t>
    </rPh>
    <rPh sb="2" eb="3">
      <t>アシ</t>
    </rPh>
    <rPh sb="4" eb="5">
      <t>キ</t>
    </rPh>
    <rPh sb="6" eb="7">
      <t>ノウ</t>
    </rPh>
    <phoneticPr fontId="5"/>
  </si>
  <si>
    <t>下　肢
切　断</t>
    <rPh sb="0" eb="1">
      <t>シタ</t>
    </rPh>
    <rPh sb="2" eb="3">
      <t>アシ</t>
    </rPh>
    <rPh sb="4" eb="5">
      <t>キリ</t>
    </rPh>
    <rPh sb="6" eb="7">
      <t>ダン</t>
    </rPh>
    <phoneticPr fontId="5"/>
  </si>
  <si>
    <t>下　肢
機　能</t>
    <rPh sb="0" eb="1">
      <t>シタ</t>
    </rPh>
    <rPh sb="2" eb="3">
      <t>アシ</t>
    </rPh>
    <rPh sb="4" eb="5">
      <t>キ</t>
    </rPh>
    <rPh sb="6" eb="7">
      <t>ノウ</t>
    </rPh>
    <phoneticPr fontId="5"/>
  </si>
  <si>
    <t>体　幹</t>
    <rPh sb="0" eb="1">
      <t>カラダ</t>
    </rPh>
    <rPh sb="2" eb="3">
      <t>ミキ</t>
    </rPh>
    <phoneticPr fontId="5"/>
  </si>
  <si>
    <t>ろうあ</t>
    <phoneticPr fontId="5"/>
  </si>
  <si>
    <t>ぼうこ
う直腸
機　能</t>
    <rPh sb="5" eb="7">
      <t>チョクチョウ</t>
    </rPh>
    <rPh sb="8" eb="9">
      <t>キ</t>
    </rPh>
    <rPh sb="10" eb="11">
      <t>ノウ</t>
    </rPh>
    <phoneticPr fontId="5"/>
  </si>
  <si>
    <t>そしゃ
く機能</t>
    <rPh sb="5" eb="6">
      <t>キ</t>
    </rPh>
    <rPh sb="6" eb="7">
      <t>ノウ</t>
    </rPh>
    <phoneticPr fontId="5"/>
  </si>
  <si>
    <t>言　語</t>
    <rPh sb="0" eb="1">
      <t>ゲン</t>
    </rPh>
    <rPh sb="2" eb="3">
      <t>ゴ</t>
    </rPh>
    <phoneticPr fontId="5"/>
  </si>
  <si>
    <t>切　断</t>
    <rPh sb="0" eb="1">
      <t>キリ</t>
    </rPh>
    <rPh sb="2" eb="3">
      <t>ダン</t>
    </rPh>
    <phoneticPr fontId="5"/>
  </si>
  <si>
    <t>機　能</t>
    <rPh sb="0" eb="1">
      <t>キ</t>
    </rPh>
    <rPh sb="2" eb="3">
      <t>ノウ</t>
    </rPh>
    <phoneticPr fontId="5"/>
  </si>
  <si>
    <t>機　 能</t>
    <rPh sb="0" eb="1">
      <t>キ</t>
    </rPh>
    <rPh sb="3" eb="4">
      <t>ノウ</t>
    </rPh>
    <phoneticPr fontId="5"/>
  </si>
  <si>
    <t>※平成27年から内部（小腸・肝臓）が対象に追加</t>
    <rPh sb="1" eb="3">
      <t>ヘイセイ</t>
    </rPh>
    <rPh sb="5" eb="6">
      <t>ネン</t>
    </rPh>
    <rPh sb="8" eb="10">
      <t>ナイブ</t>
    </rPh>
    <rPh sb="11" eb="13">
      <t>ショウチョウ</t>
    </rPh>
    <rPh sb="14" eb="16">
      <t>カンゾウ</t>
    </rPh>
    <rPh sb="18" eb="20">
      <t>タイショウ</t>
    </rPh>
    <rPh sb="21" eb="23">
      <t>ツイカ</t>
    </rPh>
    <phoneticPr fontId="5"/>
  </si>
  <si>
    <t>障がい別身体障がい者数の推移</t>
    <rPh sb="0" eb="1">
      <t>ショウ</t>
    </rPh>
    <rPh sb="3" eb="4">
      <t>ベツ</t>
    </rPh>
    <rPh sb="4" eb="6">
      <t>シンタイ</t>
    </rPh>
    <rPh sb="6" eb="7">
      <t>ショウ</t>
    </rPh>
    <rPh sb="9" eb="10">
      <t>シャ</t>
    </rPh>
    <rPh sb="10" eb="11">
      <t>スウ</t>
    </rPh>
    <rPh sb="12" eb="14">
      <t>スイイ</t>
    </rPh>
    <phoneticPr fontId="5"/>
  </si>
  <si>
    <t>施　　設　　入　　所　　者</t>
    <rPh sb="0" eb="1">
      <t>ホドコ</t>
    </rPh>
    <rPh sb="3" eb="4">
      <t>シツラ</t>
    </rPh>
    <rPh sb="6" eb="7">
      <t>イ</t>
    </rPh>
    <rPh sb="9" eb="10">
      <t>ショ</t>
    </rPh>
    <rPh sb="12" eb="13">
      <t>シャ</t>
    </rPh>
    <phoneticPr fontId="5"/>
  </si>
  <si>
    <t>在　　　　宅　　　　者</t>
    <rPh sb="0" eb="1">
      <t>ザイ</t>
    </rPh>
    <rPh sb="5" eb="6">
      <t>タク</t>
    </rPh>
    <rPh sb="10" eb="11">
      <t>シャ</t>
    </rPh>
    <phoneticPr fontId="5"/>
  </si>
  <si>
    <t>18歳以上</t>
    <rPh sb="2" eb="3">
      <t>サイ</t>
    </rPh>
    <rPh sb="3" eb="5">
      <t>イジョウ</t>
    </rPh>
    <phoneticPr fontId="5"/>
  </si>
  <si>
    <t>18歳未満</t>
    <rPh sb="2" eb="3">
      <t>サイ</t>
    </rPh>
    <rPh sb="3" eb="5">
      <t>ミマン</t>
    </rPh>
    <phoneticPr fontId="5"/>
  </si>
  <si>
    <t>平成22年度</t>
    <rPh sb="0" eb="2">
      <t>ヘイセイ</t>
    </rPh>
    <rPh sb="4" eb="6">
      <t>ネンド</t>
    </rPh>
    <phoneticPr fontId="5"/>
  </si>
  <si>
    <t xml:space="preserve">  －</t>
  </si>
  <si>
    <t>　―</t>
  </si>
  <si>
    <t>知的障がい者数の推移</t>
    <rPh sb="0" eb="2">
      <t>チテキ</t>
    </rPh>
    <rPh sb="2" eb="3">
      <t>ショウ</t>
    </rPh>
    <rPh sb="5" eb="6">
      <t>シャ</t>
    </rPh>
    <rPh sb="6" eb="7">
      <t>スウ</t>
    </rPh>
    <rPh sb="8" eb="10">
      <t>スイイ</t>
    </rPh>
    <phoneticPr fontId="5"/>
  </si>
  <si>
    <t>生活保護費の推移</t>
    <rPh sb="0" eb="2">
      <t>セイカツ</t>
    </rPh>
    <rPh sb="2" eb="4">
      <t>ホゴ</t>
    </rPh>
    <rPh sb="4" eb="5">
      <t>ヒ</t>
    </rPh>
    <rPh sb="6" eb="8">
      <t>スイイ</t>
    </rPh>
    <phoneticPr fontId="5"/>
  </si>
  <si>
    <t>保　　　　　　　　　　　　　　護　　　　　　　　　　　　　　費</t>
    <rPh sb="0" eb="1">
      <t>タモツ</t>
    </rPh>
    <rPh sb="15" eb="16">
      <t>マモル</t>
    </rPh>
    <rPh sb="30" eb="31">
      <t>ヒ</t>
    </rPh>
    <phoneticPr fontId="5"/>
  </si>
  <si>
    <t>総　　　額</t>
    <rPh sb="0" eb="1">
      <t>フサ</t>
    </rPh>
    <rPh sb="4" eb="5">
      <t>ガク</t>
    </rPh>
    <phoneticPr fontId="5"/>
  </si>
  <si>
    <t>生活扶助</t>
    <rPh sb="0" eb="2">
      <t>セイカツ</t>
    </rPh>
    <rPh sb="2" eb="4">
      <t>フジョ</t>
    </rPh>
    <phoneticPr fontId="5"/>
  </si>
  <si>
    <t>住宅扶助</t>
    <rPh sb="0" eb="2">
      <t>ジュウタク</t>
    </rPh>
    <rPh sb="2" eb="4">
      <t>フジョ</t>
    </rPh>
    <phoneticPr fontId="5"/>
  </si>
  <si>
    <t>教育扶助</t>
    <rPh sb="0" eb="2">
      <t>キョウイク</t>
    </rPh>
    <rPh sb="2" eb="4">
      <t>フジョ</t>
    </rPh>
    <phoneticPr fontId="5"/>
  </si>
  <si>
    <t>介護扶助</t>
    <rPh sb="0" eb="2">
      <t>カイゴ</t>
    </rPh>
    <rPh sb="2" eb="4">
      <t>フジョ</t>
    </rPh>
    <phoneticPr fontId="5"/>
  </si>
  <si>
    <t>医療扶助</t>
    <rPh sb="0" eb="2">
      <t>イリョウ</t>
    </rPh>
    <rPh sb="2" eb="4">
      <t>フジョ</t>
    </rPh>
    <phoneticPr fontId="5"/>
  </si>
  <si>
    <t>その他の
扶　助</t>
    <rPh sb="2" eb="3">
      <t>タ</t>
    </rPh>
    <rPh sb="5" eb="6">
      <t>タス</t>
    </rPh>
    <rPh sb="7" eb="8">
      <t>スケ</t>
    </rPh>
    <phoneticPr fontId="5"/>
  </si>
  <si>
    <t>施設事務費</t>
    <rPh sb="0" eb="2">
      <t>シセツ</t>
    </rPh>
    <rPh sb="2" eb="5">
      <t>ジムヒ</t>
    </rPh>
    <phoneticPr fontId="5"/>
  </si>
  <si>
    <t>実　　数</t>
    <rPh sb="0" eb="1">
      <t>ミ</t>
    </rPh>
    <rPh sb="3" eb="4">
      <t>カズ</t>
    </rPh>
    <phoneticPr fontId="5"/>
  </si>
  <si>
    <t>対前年比</t>
    <rPh sb="0" eb="1">
      <t>タイ</t>
    </rPh>
    <rPh sb="1" eb="4">
      <t>ゼンネンヒ</t>
    </rPh>
    <phoneticPr fontId="5"/>
  </si>
  <si>
    <t>共同募金の状況</t>
    <rPh sb="0" eb="2">
      <t>キョウドウ</t>
    </rPh>
    <rPh sb="2" eb="4">
      <t>ボキン</t>
    </rPh>
    <rPh sb="5" eb="7">
      <t>ジョウキョウ</t>
    </rPh>
    <phoneticPr fontId="5"/>
  </si>
  <si>
    <t>年　度</t>
    <rPh sb="0" eb="3">
      <t>ネンド</t>
    </rPh>
    <phoneticPr fontId="5"/>
  </si>
  <si>
    <t>目標額</t>
    <rPh sb="0" eb="2">
      <t>モクヒョウ</t>
    </rPh>
    <rPh sb="2" eb="3">
      <t>ガク</t>
    </rPh>
    <phoneticPr fontId="5"/>
  </si>
  <si>
    <t>募　　金　　実　　績　　額</t>
    <rPh sb="0" eb="1">
      <t>ボ</t>
    </rPh>
    <rPh sb="3" eb="4">
      <t>キン</t>
    </rPh>
    <rPh sb="6" eb="7">
      <t>ミ</t>
    </rPh>
    <rPh sb="9" eb="10">
      <t>イサオ</t>
    </rPh>
    <rPh sb="12" eb="13">
      <t>ガク</t>
    </rPh>
    <phoneticPr fontId="5"/>
  </si>
  <si>
    <t>目標達成率</t>
    <rPh sb="0" eb="2">
      <t>モクヒョウ</t>
    </rPh>
    <rPh sb="2" eb="4">
      <t>タッセイ</t>
    </rPh>
    <rPh sb="4" eb="5">
      <t>リツ</t>
    </rPh>
    <phoneticPr fontId="5"/>
  </si>
  <si>
    <t>総　額</t>
    <rPh sb="0" eb="3">
      <t>ソウガク</t>
    </rPh>
    <phoneticPr fontId="5"/>
  </si>
  <si>
    <t>戸　別</t>
    <rPh sb="0" eb="1">
      <t>ト</t>
    </rPh>
    <rPh sb="2" eb="3">
      <t>ベツ</t>
    </rPh>
    <phoneticPr fontId="5"/>
  </si>
  <si>
    <t>法人個人大口</t>
    <rPh sb="0" eb="2">
      <t>ホウジン</t>
    </rPh>
    <rPh sb="2" eb="4">
      <t>コジン</t>
    </rPh>
    <rPh sb="4" eb="6">
      <t>オオグチ</t>
    </rPh>
    <phoneticPr fontId="5"/>
  </si>
  <si>
    <t>学校職域</t>
    <rPh sb="0" eb="2">
      <t>ガッコウ</t>
    </rPh>
    <rPh sb="2" eb="3">
      <t>ショク</t>
    </rPh>
    <rPh sb="3" eb="4">
      <t>イキ</t>
    </rPh>
    <phoneticPr fontId="5"/>
  </si>
  <si>
    <t>円</t>
    <rPh sb="0" eb="1">
      <t>エン</t>
    </rPh>
    <phoneticPr fontId="5"/>
  </si>
  <si>
    <t>平成6年度</t>
    <rPh sb="0" eb="2">
      <t>ヘイセイ</t>
    </rPh>
    <rPh sb="3" eb="5">
      <t>ネンド</t>
    </rPh>
    <phoneticPr fontId="5"/>
  </si>
  <si>
    <t>令和元年度</t>
    <rPh sb="0" eb="2">
      <t>レイワ</t>
    </rPh>
    <rPh sb="2" eb="4">
      <t>ガンネン</t>
    </rPh>
    <rPh sb="4" eb="5">
      <t>ド</t>
    </rPh>
    <phoneticPr fontId="5"/>
  </si>
  <si>
    <t>資料：大町市共同募金委員会</t>
    <rPh sb="0" eb="2">
      <t>シリョウ</t>
    </rPh>
    <rPh sb="3" eb="6">
      <t>オオマチシ</t>
    </rPh>
    <rPh sb="6" eb="8">
      <t>キョウドウ</t>
    </rPh>
    <rPh sb="8" eb="10">
      <t>ボキン</t>
    </rPh>
    <rPh sb="10" eb="13">
      <t>イインカイ</t>
    </rPh>
    <phoneticPr fontId="5"/>
  </si>
  <si>
    <t>注）平成7年度より、一般共同募金と歳末たすけあい共同募金を一本化で実施</t>
    <phoneticPr fontId="5"/>
  </si>
  <si>
    <t>市立大町総合病院の利用状況 （延数）</t>
    <rPh sb="0" eb="1">
      <t>シ</t>
    </rPh>
    <rPh sb="1" eb="2">
      <t>リツ</t>
    </rPh>
    <rPh sb="2" eb="4">
      <t>オオマチ</t>
    </rPh>
    <rPh sb="4" eb="6">
      <t>ソウゴウ</t>
    </rPh>
    <rPh sb="6" eb="8">
      <t>ビョウイン</t>
    </rPh>
    <rPh sb="9" eb="11">
      <t>リヨウ</t>
    </rPh>
    <rPh sb="11" eb="13">
      <t>ジョウキョウ</t>
    </rPh>
    <rPh sb="15" eb="16">
      <t>ノ</t>
    </rPh>
    <rPh sb="16" eb="17">
      <t>スウ</t>
    </rPh>
    <phoneticPr fontId="5"/>
  </si>
  <si>
    <t>内　科</t>
    <rPh sb="0" eb="1">
      <t>ウチ</t>
    </rPh>
    <rPh sb="2" eb="3">
      <t>カ</t>
    </rPh>
    <phoneticPr fontId="5"/>
  </si>
  <si>
    <t>小児科</t>
    <rPh sb="0" eb="3">
      <t>ショウニカ</t>
    </rPh>
    <phoneticPr fontId="5"/>
  </si>
  <si>
    <t>外　科</t>
    <rPh sb="0" eb="1">
      <t>ソト</t>
    </rPh>
    <rPh sb="2" eb="3">
      <t>カ</t>
    </rPh>
    <phoneticPr fontId="5"/>
  </si>
  <si>
    <t>整　形</t>
    <rPh sb="0" eb="1">
      <t>ヒトシ</t>
    </rPh>
    <rPh sb="2" eb="3">
      <t>カタチ</t>
    </rPh>
    <phoneticPr fontId="5"/>
  </si>
  <si>
    <t>脳神経</t>
    <rPh sb="0" eb="3">
      <t>ノウシンケイ</t>
    </rPh>
    <phoneticPr fontId="5"/>
  </si>
  <si>
    <t>皮膚科</t>
    <rPh sb="0" eb="3">
      <t>ヒフカ</t>
    </rPh>
    <phoneticPr fontId="5"/>
  </si>
  <si>
    <t>泌　尿</t>
    <rPh sb="0" eb="1">
      <t>ヒ</t>
    </rPh>
    <rPh sb="2" eb="3">
      <t>ニョウ</t>
    </rPh>
    <phoneticPr fontId="5"/>
  </si>
  <si>
    <t>産　婦</t>
    <rPh sb="0" eb="1">
      <t>サン</t>
    </rPh>
    <rPh sb="2" eb="3">
      <t>フ</t>
    </rPh>
    <phoneticPr fontId="5"/>
  </si>
  <si>
    <t>眼　科</t>
    <rPh sb="0" eb="1">
      <t>メ</t>
    </rPh>
    <rPh sb="2" eb="3">
      <t>カ</t>
    </rPh>
    <phoneticPr fontId="5"/>
  </si>
  <si>
    <t>耳　鼻</t>
    <rPh sb="0" eb="1">
      <t>ミミ</t>
    </rPh>
    <rPh sb="2" eb="3">
      <t>ハナ</t>
    </rPh>
    <phoneticPr fontId="5"/>
  </si>
  <si>
    <t>形　成</t>
    <rPh sb="0" eb="1">
      <t>カタチ</t>
    </rPh>
    <rPh sb="2" eb="3">
      <t>シゲル</t>
    </rPh>
    <phoneticPr fontId="5"/>
  </si>
  <si>
    <t>歯科口腔</t>
    <rPh sb="0" eb="2">
      <t>シカ</t>
    </rPh>
    <rPh sb="2" eb="4">
      <t>コウクウ</t>
    </rPh>
    <phoneticPr fontId="5"/>
  </si>
  <si>
    <t>訪　問</t>
    <rPh sb="0" eb="1">
      <t>ホウ</t>
    </rPh>
    <rPh sb="2" eb="3">
      <t>トイ</t>
    </rPh>
    <phoneticPr fontId="5"/>
  </si>
  <si>
    <t>器　科</t>
    <rPh sb="0" eb="1">
      <t>キ</t>
    </rPh>
    <rPh sb="2" eb="3">
      <t>カ</t>
    </rPh>
    <phoneticPr fontId="5"/>
  </si>
  <si>
    <t>人　科</t>
    <rPh sb="0" eb="1">
      <t>ヒト</t>
    </rPh>
    <rPh sb="2" eb="3">
      <t>カ</t>
    </rPh>
    <phoneticPr fontId="5"/>
  </si>
  <si>
    <t>咽喉科</t>
    <rPh sb="0" eb="2">
      <t>インコウ</t>
    </rPh>
    <rPh sb="2" eb="3">
      <t>カ</t>
    </rPh>
    <phoneticPr fontId="5"/>
  </si>
  <si>
    <t>外　科</t>
    <phoneticPr fontId="5"/>
  </si>
  <si>
    <t>診　療</t>
    <rPh sb="0" eb="1">
      <t>シン</t>
    </rPh>
    <rPh sb="2" eb="3">
      <t>イヤス</t>
    </rPh>
    <phoneticPr fontId="5"/>
  </si>
  <si>
    <t>千人</t>
  </si>
  <si>
    <t>千人</t>
    <rPh sb="0" eb="2">
      <t>センニン</t>
    </rPh>
    <phoneticPr fontId="5"/>
  </si>
  <si>
    <t>平成23年度</t>
    <rPh sb="0" eb="2">
      <t>ヘイセイ</t>
    </rPh>
    <rPh sb="4" eb="6">
      <t>ネンド</t>
    </rPh>
    <phoneticPr fontId="5"/>
  </si>
  <si>
    <t>資料 ： 市立大町総合病院</t>
    <rPh sb="0" eb="2">
      <t>シリョウ</t>
    </rPh>
    <rPh sb="5" eb="6">
      <t>シ</t>
    </rPh>
    <rPh sb="6" eb="7">
      <t>リツ</t>
    </rPh>
    <rPh sb="7" eb="9">
      <t>オオマチ</t>
    </rPh>
    <rPh sb="9" eb="11">
      <t>ソウゴウ</t>
    </rPh>
    <rPh sb="11" eb="13">
      <t>ビョウイン</t>
    </rPh>
    <phoneticPr fontId="5"/>
  </si>
  <si>
    <t>注）入院、外来患者数を合算した数値である。</t>
    <phoneticPr fontId="5"/>
  </si>
  <si>
    <t>予防接種・検診等の状況</t>
    <rPh sb="0" eb="2">
      <t>ヨボウ</t>
    </rPh>
    <rPh sb="2" eb="4">
      <t>セッシュ</t>
    </rPh>
    <rPh sb="5" eb="7">
      <t>ケンシン</t>
    </rPh>
    <rPh sb="7" eb="8">
      <t>トウ</t>
    </rPh>
    <rPh sb="9" eb="11">
      <t>ジョウキョウ</t>
    </rPh>
    <phoneticPr fontId="5"/>
  </si>
  <si>
    <t>種　　　　　　　　別</t>
    <rPh sb="0" eb="1">
      <t>タネ</t>
    </rPh>
    <rPh sb="9" eb="10">
      <t>ベツ</t>
    </rPh>
    <phoneticPr fontId="5"/>
  </si>
  <si>
    <t>対　　象　　　人　　員</t>
    <rPh sb="0" eb="1">
      <t>タイ</t>
    </rPh>
    <rPh sb="3" eb="4">
      <t>ゾウ</t>
    </rPh>
    <rPh sb="7" eb="8">
      <t>ヒト</t>
    </rPh>
    <rPh sb="10" eb="11">
      <t>イン</t>
    </rPh>
    <phoneticPr fontId="5"/>
  </si>
  <si>
    <t>実　　施　　　人　　員</t>
    <rPh sb="0" eb="1">
      <t>ミ</t>
    </rPh>
    <rPh sb="3" eb="4">
      <t>ホドコ</t>
    </rPh>
    <rPh sb="7" eb="8">
      <t>ヒト</t>
    </rPh>
    <rPh sb="10" eb="11">
      <t>イン</t>
    </rPh>
    <phoneticPr fontId="5"/>
  </si>
  <si>
    <t>実施率
      ％</t>
    <rPh sb="0" eb="2">
      <t>ジッシ</t>
    </rPh>
    <rPh sb="2" eb="3">
      <t>リツ</t>
    </rPh>
    <phoneticPr fontId="5"/>
  </si>
  <si>
    <t>予防接種</t>
    <rPh sb="0" eb="2">
      <t>ヨボウ</t>
    </rPh>
    <rPh sb="2" eb="4">
      <t>セッシュ</t>
    </rPh>
    <phoneticPr fontId="5"/>
  </si>
  <si>
    <t>三種混合</t>
    <rPh sb="0" eb="1">
      <t>３</t>
    </rPh>
    <rPh sb="1" eb="2">
      <t>シュ</t>
    </rPh>
    <rPh sb="2" eb="4">
      <t>コンゴウ</t>
    </rPh>
    <phoneticPr fontId="5"/>
  </si>
  <si>
    <t>四種混合</t>
    <rPh sb="0" eb="2">
      <t>４シュ</t>
    </rPh>
    <rPh sb="2" eb="4">
      <t>コンゴウ</t>
    </rPh>
    <phoneticPr fontId="5"/>
  </si>
  <si>
    <t>二種混合</t>
    <rPh sb="0" eb="1">
      <t>２</t>
    </rPh>
    <rPh sb="1" eb="2">
      <t>シュ</t>
    </rPh>
    <rPh sb="2" eb="4">
      <t>コンゴウ</t>
    </rPh>
    <phoneticPr fontId="5"/>
  </si>
  <si>
    <t>急性灰白随炎（生ポリオ）</t>
    <rPh sb="0" eb="2">
      <t>キュウセイ</t>
    </rPh>
    <rPh sb="2" eb="3">
      <t>ハイ</t>
    </rPh>
    <rPh sb="3" eb="4">
      <t>ハク</t>
    </rPh>
    <rPh sb="4" eb="5">
      <t>ズイ</t>
    </rPh>
    <rPh sb="5" eb="6">
      <t>エン</t>
    </rPh>
    <rPh sb="7" eb="8">
      <t>ナマ</t>
    </rPh>
    <phoneticPr fontId="5"/>
  </si>
  <si>
    <t>急性灰白随炎（不活化ポリオ）</t>
    <rPh sb="0" eb="2">
      <t>キュウセイ</t>
    </rPh>
    <rPh sb="2" eb="3">
      <t>ハイ</t>
    </rPh>
    <rPh sb="3" eb="4">
      <t>ハク</t>
    </rPh>
    <rPh sb="4" eb="5">
      <t>ズイ</t>
    </rPh>
    <rPh sb="5" eb="6">
      <t>エン</t>
    </rPh>
    <rPh sb="7" eb="10">
      <t>フカツカ</t>
    </rPh>
    <phoneticPr fontId="5"/>
  </si>
  <si>
    <t>日本脳炎</t>
    <rPh sb="0" eb="2">
      <t>ニホン</t>
    </rPh>
    <rPh sb="2" eb="4">
      <t>ノウエン</t>
    </rPh>
    <phoneticPr fontId="5"/>
  </si>
  <si>
    <t>風しん</t>
    <rPh sb="0" eb="1">
      <t>フウ</t>
    </rPh>
    <phoneticPr fontId="5"/>
  </si>
  <si>
    <t>麻しん</t>
    <rPh sb="0" eb="1">
      <t>アサ</t>
    </rPh>
    <phoneticPr fontId="5"/>
  </si>
  <si>
    <t>麻しん・風しん混合（MR１期）</t>
    <rPh sb="0" eb="1">
      <t>マ</t>
    </rPh>
    <rPh sb="4" eb="5">
      <t>フウ</t>
    </rPh>
    <rPh sb="7" eb="9">
      <t>コンゴウ</t>
    </rPh>
    <rPh sb="13" eb="14">
      <t>キ</t>
    </rPh>
    <phoneticPr fontId="5"/>
  </si>
  <si>
    <t>麻しん・風しん混合（MR２期）</t>
    <rPh sb="0" eb="1">
      <t>マ</t>
    </rPh>
    <rPh sb="4" eb="5">
      <t>フウ</t>
    </rPh>
    <rPh sb="7" eb="9">
      <t>コンゴウ</t>
    </rPh>
    <rPh sb="13" eb="14">
      <t>キ</t>
    </rPh>
    <phoneticPr fontId="5"/>
  </si>
  <si>
    <t>麻しん・風しん混合（MR３期）</t>
    <phoneticPr fontId="5"/>
  </si>
  <si>
    <t>麻しん・風しん混合（MR４期）</t>
    <phoneticPr fontId="5"/>
  </si>
  <si>
    <t>ＢＣＧ</t>
  </si>
  <si>
    <t>ヒブ</t>
    <phoneticPr fontId="5"/>
  </si>
  <si>
    <t>小児用肺炎球菌</t>
    <rPh sb="0" eb="3">
      <t>ショウニヨウ</t>
    </rPh>
    <rPh sb="3" eb="5">
      <t>ハイエン</t>
    </rPh>
    <rPh sb="5" eb="7">
      <t>キュウキン</t>
    </rPh>
    <phoneticPr fontId="5"/>
  </si>
  <si>
    <t>子宮頸がん</t>
    <rPh sb="0" eb="2">
      <t>シキュウ</t>
    </rPh>
    <rPh sb="2" eb="3">
      <t>ケイ</t>
    </rPh>
    <phoneticPr fontId="5"/>
  </si>
  <si>
    <t>水痘</t>
    <rPh sb="0" eb="2">
      <t>スイトウ</t>
    </rPh>
    <phoneticPr fontId="5"/>
  </si>
  <si>
    <t>Ｂ型肝炎</t>
    <rPh sb="1" eb="2">
      <t>ガタ</t>
    </rPh>
    <rPh sb="2" eb="4">
      <t>カンエン</t>
    </rPh>
    <phoneticPr fontId="5"/>
  </si>
  <si>
    <t>検診等</t>
    <rPh sb="0" eb="3">
      <t>ケンシントウ</t>
    </rPh>
    <phoneticPr fontId="5"/>
  </si>
  <si>
    <t>大町市国保特定健康診査</t>
    <rPh sb="0" eb="3">
      <t>オオマチシ</t>
    </rPh>
    <rPh sb="3" eb="5">
      <t>コクホ</t>
    </rPh>
    <rPh sb="5" eb="7">
      <t>トクテイ</t>
    </rPh>
    <rPh sb="7" eb="9">
      <t>ケンコウ</t>
    </rPh>
    <rPh sb="9" eb="11">
      <t>シンサ</t>
    </rPh>
    <phoneticPr fontId="5"/>
  </si>
  <si>
    <t>胃がん検診（ﾊﾞﾘｳﾑ+胃ｶﾒﾗ）</t>
    <rPh sb="0" eb="1">
      <t>イ</t>
    </rPh>
    <rPh sb="3" eb="5">
      <t>ケンシン</t>
    </rPh>
    <rPh sb="12" eb="13">
      <t>イ</t>
    </rPh>
    <phoneticPr fontId="5"/>
  </si>
  <si>
    <t>大腸がん検診</t>
    <rPh sb="0" eb="2">
      <t>ダイチョウ</t>
    </rPh>
    <rPh sb="4" eb="6">
      <t>ケンシン</t>
    </rPh>
    <phoneticPr fontId="5"/>
  </si>
  <si>
    <t>乳がん検診</t>
    <rPh sb="0" eb="1">
      <t>ニュウ</t>
    </rPh>
    <rPh sb="3" eb="5">
      <t>ケンシン</t>
    </rPh>
    <phoneticPr fontId="5"/>
  </si>
  <si>
    <t>子宮頚がん検診</t>
    <rPh sb="0" eb="2">
      <t>シキュウ</t>
    </rPh>
    <rPh sb="2" eb="3">
      <t>ケイ</t>
    </rPh>
    <rPh sb="5" eb="7">
      <t>ケンシン</t>
    </rPh>
    <phoneticPr fontId="5"/>
  </si>
  <si>
    <t>肺がん検診</t>
    <rPh sb="0" eb="1">
      <t>ハイ</t>
    </rPh>
    <rPh sb="3" eb="5">
      <t>ケンシン</t>
    </rPh>
    <phoneticPr fontId="5"/>
  </si>
  <si>
    <t>再掲）胸部レントゲン検診</t>
    <rPh sb="0" eb="2">
      <t>サイケイ</t>
    </rPh>
    <rPh sb="3" eb="5">
      <t>キョウブ</t>
    </rPh>
    <rPh sb="10" eb="12">
      <t>ケンシン</t>
    </rPh>
    <phoneticPr fontId="5"/>
  </si>
  <si>
    <t>前立腺がん検診</t>
    <rPh sb="0" eb="3">
      <t>ゼンリツセン</t>
    </rPh>
    <rPh sb="5" eb="7">
      <t>ケンシン</t>
    </rPh>
    <phoneticPr fontId="5"/>
  </si>
  <si>
    <t>資料：市民課</t>
    <rPh sb="0" eb="2">
      <t>シリョウ</t>
    </rPh>
    <rPh sb="3" eb="5">
      <t>シミン</t>
    </rPh>
    <rPh sb="5" eb="6">
      <t>カ</t>
    </rPh>
    <phoneticPr fontId="5"/>
  </si>
  <si>
    <t>検診等の対象者数について</t>
    <rPh sb="0" eb="2">
      <t>ケンシン</t>
    </rPh>
    <rPh sb="2" eb="3">
      <t>トウ</t>
    </rPh>
    <rPh sb="4" eb="6">
      <t>タイショウ</t>
    </rPh>
    <rPh sb="6" eb="7">
      <t>シャ</t>
    </rPh>
    <rPh sb="7" eb="8">
      <t>スウ</t>
    </rPh>
    <phoneticPr fontId="5"/>
  </si>
  <si>
    <t>　1.大町市国保特定健康診査は、40～74歳の被保険者数</t>
    <rPh sb="3" eb="6">
      <t>オオマチシ</t>
    </rPh>
    <rPh sb="6" eb="8">
      <t>コクホ</t>
    </rPh>
    <rPh sb="8" eb="10">
      <t>トクテイ</t>
    </rPh>
    <rPh sb="10" eb="12">
      <t>ケンコウ</t>
    </rPh>
    <rPh sb="12" eb="14">
      <t>シンサ</t>
    </rPh>
    <rPh sb="21" eb="22">
      <t>サイ</t>
    </rPh>
    <rPh sb="23" eb="24">
      <t>ヒ</t>
    </rPh>
    <rPh sb="24" eb="26">
      <t>ホケン</t>
    </rPh>
    <rPh sb="26" eb="27">
      <t>シャ</t>
    </rPh>
    <rPh sb="27" eb="28">
      <t>スウ</t>
    </rPh>
    <phoneticPr fontId="5"/>
  </si>
  <si>
    <t>　2.平成20年度の大町市国保特定健康診査以外及び21年度の前立腺がん検診は、対象となる年代の市民の数</t>
    <phoneticPr fontId="5"/>
  </si>
  <si>
    <t>　3.平成21年度以降の大町市国保特定健康診査以外（前立腺がんは22年度以降）は、</t>
    <phoneticPr fontId="5"/>
  </si>
  <si>
    <t>厚生労働省通知に基づく推計対象者数（市区町村人口－（就業者数－農林水産従事者数））</t>
  </si>
  <si>
    <t>　4.平成26年10月から、水痘（水ぼうそう）ワクチンが導入</t>
    <phoneticPr fontId="5"/>
  </si>
  <si>
    <t>　5.平成28年10月から、Ｂ型肝炎ワクチンが導入</t>
    <phoneticPr fontId="5"/>
  </si>
  <si>
    <t>ごみ処理の状況</t>
    <rPh sb="2" eb="4">
      <t>ショリ</t>
    </rPh>
    <rPh sb="5" eb="7">
      <t>ジョウキョウ</t>
    </rPh>
    <phoneticPr fontId="5"/>
  </si>
  <si>
    <t>収集対象
世帯数</t>
    <rPh sb="0" eb="2">
      <t>シュウシュウ</t>
    </rPh>
    <rPh sb="2" eb="4">
      <t>タイショウ</t>
    </rPh>
    <rPh sb="5" eb="8">
      <t>セタイスウ</t>
    </rPh>
    <phoneticPr fontId="5"/>
  </si>
  <si>
    <t>年間収集量</t>
    <rPh sb="0" eb="2">
      <t>ネンカン</t>
    </rPh>
    <rPh sb="2" eb="4">
      <t>シュウシュウ</t>
    </rPh>
    <rPh sb="4" eb="5">
      <t>リョウ</t>
    </rPh>
    <phoneticPr fontId="5"/>
  </si>
  <si>
    <t>1日平均</t>
    <rPh sb="1" eb="2">
      <t>ニチ</t>
    </rPh>
    <rPh sb="2" eb="4">
      <t>ヘイキン</t>
    </rPh>
    <phoneticPr fontId="5"/>
  </si>
  <si>
    <t>焼却量</t>
    <rPh sb="0" eb="2">
      <t>ショウキャク</t>
    </rPh>
    <rPh sb="2" eb="3">
      <t>リョウ</t>
    </rPh>
    <phoneticPr fontId="5"/>
  </si>
  <si>
    <t>可燃ごみ</t>
    <rPh sb="0" eb="2">
      <t>カネン</t>
    </rPh>
    <phoneticPr fontId="5"/>
  </si>
  <si>
    <t>不燃ごみ</t>
    <rPh sb="0" eb="2">
      <t>フネン</t>
    </rPh>
    <phoneticPr fontId="5"/>
  </si>
  <si>
    <t>総量</t>
    <rPh sb="0" eb="2">
      <t>ソウリョウ</t>
    </rPh>
    <phoneticPr fontId="5"/>
  </si>
  <si>
    <t>作  業
延人数</t>
    <rPh sb="0" eb="1">
      <t>サク</t>
    </rPh>
    <rPh sb="3" eb="4">
      <t>ギョウ</t>
    </rPh>
    <rPh sb="5" eb="6">
      <t>ノ</t>
    </rPh>
    <rPh sb="6" eb="8">
      <t>ニンズウ</t>
    </rPh>
    <phoneticPr fontId="5"/>
  </si>
  <si>
    <t>作業員</t>
    <rPh sb="0" eb="3">
      <t>サギョウイン</t>
    </rPh>
    <phoneticPr fontId="5"/>
  </si>
  <si>
    <t>収集車両
延数</t>
    <rPh sb="0" eb="2">
      <t>シュウシュウ</t>
    </rPh>
    <rPh sb="2" eb="4">
      <t>シャリョウ</t>
    </rPh>
    <rPh sb="5" eb="6">
      <t>ノ</t>
    </rPh>
    <rPh sb="6" eb="7">
      <t>スウ</t>
    </rPh>
    <phoneticPr fontId="5"/>
  </si>
  <si>
    <t>収集量</t>
    <rPh sb="0" eb="2">
      <t>シュウシュウ</t>
    </rPh>
    <rPh sb="2" eb="3">
      <t>リョウ</t>
    </rPh>
    <phoneticPr fontId="5"/>
  </si>
  <si>
    <t>ｔ</t>
    <phoneticPr fontId="5"/>
  </si>
  <si>
    <t>台</t>
    <rPh sb="0" eb="1">
      <t>ダイ</t>
    </rPh>
    <phoneticPr fontId="5"/>
  </si>
  <si>
    <t>平成18年度</t>
    <rPh sb="0" eb="2">
      <t>ヘイセイ</t>
    </rPh>
    <rPh sb="4" eb="6">
      <t>ネンド</t>
    </rPh>
    <phoneticPr fontId="5"/>
  </si>
  <si>
    <t>令和2年度</t>
    <rPh sb="0" eb="2">
      <t>レイワ</t>
    </rPh>
    <phoneticPr fontId="5"/>
  </si>
  <si>
    <t>資料：北アルプス広域連合、生活環境課</t>
    <rPh sb="0" eb="2">
      <t>シリョウ</t>
    </rPh>
    <rPh sb="3" eb="4">
      <t>キタ</t>
    </rPh>
    <rPh sb="8" eb="10">
      <t>コウイキ</t>
    </rPh>
    <rPh sb="10" eb="12">
      <t>レンゴウ</t>
    </rPh>
    <rPh sb="13" eb="15">
      <t>セイカツ</t>
    </rPh>
    <rPh sb="15" eb="17">
      <t>カンキョウ</t>
    </rPh>
    <rPh sb="17" eb="18">
      <t>カ</t>
    </rPh>
    <phoneticPr fontId="5"/>
  </si>
  <si>
    <t>（記載内容についての説明）</t>
    <rPh sb="1" eb="3">
      <t>キサイ</t>
    </rPh>
    <rPh sb="3" eb="5">
      <t>ナイヨウ</t>
    </rPh>
    <rPh sb="10" eb="12">
      <t>セツメイ</t>
    </rPh>
    <phoneticPr fontId="5"/>
  </si>
  <si>
    <t>　1.収集対象世帯数（4月1日現在の広報おおまち掲載世帯数）</t>
    <rPh sb="3" eb="5">
      <t>シュウシュウ</t>
    </rPh>
    <rPh sb="5" eb="7">
      <t>タイショウ</t>
    </rPh>
    <rPh sb="7" eb="9">
      <t>セタイ</t>
    </rPh>
    <rPh sb="9" eb="10">
      <t>スウ</t>
    </rPh>
    <rPh sb="12" eb="13">
      <t>ガツ</t>
    </rPh>
    <rPh sb="14" eb="15">
      <t>ニチ</t>
    </rPh>
    <rPh sb="15" eb="17">
      <t>ゲンザイ</t>
    </rPh>
    <rPh sb="18" eb="20">
      <t>コウホウ</t>
    </rPh>
    <rPh sb="24" eb="26">
      <t>ケイサイ</t>
    </rPh>
    <rPh sb="26" eb="29">
      <t>セタイスウ</t>
    </rPh>
    <phoneticPr fontId="5"/>
  </si>
  <si>
    <t>　2.年間収集量（計量データ）</t>
    <rPh sb="3" eb="5">
      <t>ネンカン</t>
    </rPh>
    <rPh sb="5" eb="7">
      <t>シュウシュウ</t>
    </rPh>
    <rPh sb="7" eb="8">
      <t>リョウ</t>
    </rPh>
    <rPh sb="9" eb="11">
      <t>ケイリョウ</t>
    </rPh>
    <phoneticPr fontId="5"/>
  </si>
  <si>
    <t>　3.作業延人数（年間収集車稼働台数×1台あたりの作業人数2人）</t>
    <rPh sb="3" eb="5">
      <t>サギョウ</t>
    </rPh>
    <rPh sb="5" eb="6">
      <t>エン</t>
    </rPh>
    <rPh sb="6" eb="8">
      <t>ニンズウ</t>
    </rPh>
    <rPh sb="9" eb="11">
      <t>ネンカン</t>
    </rPh>
    <rPh sb="11" eb="13">
      <t>シュウシュウ</t>
    </rPh>
    <rPh sb="13" eb="14">
      <t>シャ</t>
    </rPh>
    <rPh sb="14" eb="16">
      <t>カドウ</t>
    </rPh>
    <rPh sb="16" eb="18">
      <t>ダイスウ</t>
    </rPh>
    <rPh sb="20" eb="21">
      <t>ダイ</t>
    </rPh>
    <rPh sb="25" eb="27">
      <t>サギョウ</t>
    </rPh>
    <rPh sb="27" eb="29">
      <t>ニンズウ</t>
    </rPh>
    <rPh sb="30" eb="31">
      <t>ヒト</t>
    </rPh>
    <phoneticPr fontId="5"/>
  </si>
  <si>
    <t>　4.1日平均作業員（1日平均収集車両延べ数×1台あたりの作業人数2人）</t>
    <rPh sb="4" eb="5">
      <t>ニチ</t>
    </rPh>
    <rPh sb="5" eb="7">
      <t>ヘイキン</t>
    </rPh>
    <rPh sb="7" eb="10">
      <t>サギョウイン</t>
    </rPh>
    <rPh sb="12" eb="13">
      <t>ニチ</t>
    </rPh>
    <rPh sb="13" eb="15">
      <t>ヘイキン</t>
    </rPh>
    <rPh sb="15" eb="17">
      <t>シュウシュウ</t>
    </rPh>
    <rPh sb="17" eb="19">
      <t>シャリョウ</t>
    </rPh>
    <rPh sb="19" eb="20">
      <t>ノ</t>
    </rPh>
    <rPh sb="21" eb="22">
      <t>スウ</t>
    </rPh>
    <rPh sb="24" eb="25">
      <t>ダイ</t>
    </rPh>
    <rPh sb="29" eb="31">
      <t>サギョウ</t>
    </rPh>
    <rPh sb="31" eb="33">
      <t>ニンズ</t>
    </rPh>
    <rPh sb="34" eb="35">
      <t>ヒト</t>
    </rPh>
    <phoneticPr fontId="5"/>
  </si>
  <si>
    <t>　5.1日平均収集量（年間収集量÷年間収集日数）</t>
    <rPh sb="4" eb="5">
      <t>ニチ</t>
    </rPh>
    <rPh sb="5" eb="7">
      <t>ヘイキン</t>
    </rPh>
    <rPh sb="7" eb="9">
      <t>シュウシュウ</t>
    </rPh>
    <rPh sb="9" eb="10">
      <t>リョウ</t>
    </rPh>
    <rPh sb="11" eb="13">
      <t>ネンカン</t>
    </rPh>
    <rPh sb="13" eb="15">
      <t>シュウシュウ</t>
    </rPh>
    <rPh sb="15" eb="16">
      <t>リョウ</t>
    </rPh>
    <rPh sb="17" eb="19">
      <t>ネンカン</t>
    </rPh>
    <rPh sb="19" eb="21">
      <t>シュウシュウ</t>
    </rPh>
    <rPh sb="21" eb="23">
      <t>ニッスウ</t>
    </rPh>
    <phoneticPr fontId="5"/>
  </si>
  <si>
    <t>　6.焼却量（焼却データ）</t>
    <rPh sb="3" eb="5">
      <t>ショウキャク</t>
    </rPh>
    <rPh sb="5" eb="6">
      <t>リョウ</t>
    </rPh>
    <rPh sb="7" eb="9">
      <t>ショウキャク</t>
    </rPh>
    <phoneticPr fontId="5"/>
  </si>
  <si>
    <t>注）1.北アルプスエコパークは平成30年4月から試運転（大町市のごみを受け入れ）</t>
    <rPh sb="0" eb="1">
      <t>チュウ</t>
    </rPh>
    <rPh sb="4" eb="5">
      <t>キタ</t>
    </rPh>
    <rPh sb="15" eb="17">
      <t>ヘイセイ</t>
    </rPh>
    <rPh sb="19" eb="20">
      <t>ネン</t>
    </rPh>
    <rPh sb="21" eb="22">
      <t>ガツ</t>
    </rPh>
    <rPh sb="24" eb="27">
      <t>シウンテン</t>
    </rPh>
    <rPh sb="28" eb="31">
      <t>オオマチシ</t>
    </rPh>
    <rPh sb="35" eb="36">
      <t>ウ</t>
    </rPh>
    <rPh sb="37" eb="38">
      <t>イ</t>
    </rPh>
    <phoneticPr fontId="5"/>
  </si>
  <si>
    <t>　　2.平成30年8月1日から本格稼働で大町市、白馬村、小谷村のごみを受け入れ</t>
    <rPh sb="4" eb="6">
      <t>ヘイセイ</t>
    </rPh>
    <rPh sb="8" eb="9">
      <t>ネン</t>
    </rPh>
    <rPh sb="10" eb="11">
      <t>ガツ</t>
    </rPh>
    <rPh sb="12" eb="13">
      <t>ニチ</t>
    </rPh>
    <rPh sb="15" eb="17">
      <t>ホンカク</t>
    </rPh>
    <rPh sb="17" eb="19">
      <t>カドウ</t>
    </rPh>
    <rPh sb="20" eb="23">
      <t>オオマチシ</t>
    </rPh>
    <rPh sb="24" eb="26">
      <t>ハクバ</t>
    </rPh>
    <rPh sb="26" eb="27">
      <t>ムラ</t>
    </rPh>
    <rPh sb="28" eb="31">
      <t>オタリムラ</t>
    </rPh>
    <rPh sb="35" eb="36">
      <t>ウ</t>
    </rPh>
    <rPh sb="37" eb="38">
      <t>イ</t>
    </rPh>
    <phoneticPr fontId="5"/>
  </si>
  <si>
    <t>し尿処理の状況</t>
    <rPh sb="1" eb="2">
      <t>ニョウ</t>
    </rPh>
    <rPh sb="2" eb="4">
      <t>ショリ</t>
    </rPh>
    <rPh sb="5" eb="7">
      <t>ジョウキョウ</t>
    </rPh>
    <phoneticPr fontId="5"/>
  </si>
  <si>
    <t>年　  度</t>
    <rPh sb="0" eb="1">
      <t>トシ</t>
    </rPh>
    <rPh sb="4" eb="5">
      <t>タビ</t>
    </rPh>
    <phoneticPr fontId="5"/>
  </si>
  <si>
    <t>施設処理</t>
    <rPh sb="0" eb="2">
      <t>シセツ</t>
    </rPh>
    <rPh sb="2" eb="4">
      <t>ショリ</t>
    </rPh>
    <phoneticPr fontId="5"/>
  </si>
  <si>
    <t>収　集　量</t>
    <rPh sb="0" eb="1">
      <t>オサム</t>
    </rPh>
    <rPh sb="2" eb="3">
      <t>シュウ</t>
    </rPh>
    <rPh sb="4" eb="5">
      <t>リョウ</t>
    </rPh>
    <phoneticPr fontId="5"/>
  </si>
  <si>
    <t>処　理　量</t>
    <rPh sb="0" eb="1">
      <t>トコロ</t>
    </rPh>
    <rPh sb="2" eb="3">
      <t>リ</t>
    </rPh>
    <rPh sb="4" eb="5">
      <t>リョウ</t>
    </rPh>
    <phoneticPr fontId="5"/>
  </si>
  <si>
    <t>資料：生活環境課</t>
    <rPh sb="0" eb="2">
      <t>シリョウ</t>
    </rPh>
    <rPh sb="3" eb="5">
      <t>セイカツ</t>
    </rPh>
    <rPh sb="5" eb="7">
      <t>カンキョウ</t>
    </rPh>
    <rPh sb="7" eb="8">
      <t>カ</t>
    </rPh>
    <phoneticPr fontId="5"/>
  </si>
  <si>
    <t>注)合併前は、旧大町市の数値である。</t>
    <rPh sb="0" eb="1">
      <t>チュウ</t>
    </rPh>
    <rPh sb="2" eb="4">
      <t>ガッペイ</t>
    </rPh>
    <rPh sb="4" eb="5">
      <t>マエ</t>
    </rPh>
    <rPh sb="7" eb="8">
      <t>キュウ</t>
    </rPh>
    <rPh sb="8" eb="11">
      <t>オオマチシ</t>
    </rPh>
    <rPh sb="12" eb="14">
      <t>スウチ</t>
    </rPh>
    <phoneticPr fontId="5"/>
  </si>
  <si>
    <t>狂犬病予防法による犬の登録及び注射状況</t>
    <rPh sb="0" eb="2">
      <t>キョウケン</t>
    </rPh>
    <rPh sb="2" eb="3">
      <t>ビョウ</t>
    </rPh>
    <rPh sb="3" eb="5">
      <t>ヨボウ</t>
    </rPh>
    <rPh sb="5" eb="6">
      <t>ホウ</t>
    </rPh>
    <rPh sb="9" eb="10">
      <t>イヌ</t>
    </rPh>
    <rPh sb="11" eb="13">
      <t>トウロク</t>
    </rPh>
    <rPh sb="13" eb="14">
      <t>オヨ</t>
    </rPh>
    <rPh sb="15" eb="17">
      <t>チュウシャ</t>
    </rPh>
    <rPh sb="17" eb="19">
      <t>ジョウキョウ</t>
    </rPh>
    <phoneticPr fontId="5"/>
  </si>
  <si>
    <t>登　　　録</t>
    <rPh sb="0" eb="1">
      <t>ノボル</t>
    </rPh>
    <rPh sb="4" eb="5">
      <t>リョク</t>
    </rPh>
    <phoneticPr fontId="5"/>
  </si>
  <si>
    <t>注　　　射</t>
    <rPh sb="0" eb="1">
      <t>チュウ</t>
    </rPh>
    <rPh sb="4" eb="5">
      <t>イ</t>
    </rPh>
    <phoneticPr fontId="5"/>
  </si>
  <si>
    <t>頭</t>
    <rPh sb="0" eb="1">
      <t>アタマ</t>
    </rPh>
    <phoneticPr fontId="5"/>
  </si>
  <si>
    <t>公害苦情処理件数</t>
    <rPh sb="0" eb="2">
      <t>コウガイ</t>
    </rPh>
    <rPh sb="2" eb="4">
      <t>クジョウ</t>
    </rPh>
    <rPh sb="4" eb="6">
      <t>ショリ</t>
    </rPh>
    <rPh sb="6" eb="8">
      <t>ケンスウ</t>
    </rPh>
    <phoneticPr fontId="5"/>
  </si>
  <si>
    <t>大気汚染</t>
    <rPh sb="0" eb="2">
      <t>タイキ</t>
    </rPh>
    <rPh sb="2" eb="4">
      <t>オセン</t>
    </rPh>
    <phoneticPr fontId="5"/>
  </si>
  <si>
    <t>水質汚濁</t>
    <rPh sb="0" eb="2">
      <t>スイシツ</t>
    </rPh>
    <rPh sb="2" eb="4">
      <t>オダク</t>
    </rPh>
    <phoneticPr fontId="5"/>
  </si>
  <si>
    <t>土壌汚染</t>
    <rPh sb="0" eb="2">
      <t>ドジョウ</t>
    </rPh>
    <rPh sb="2" eb="4">
      <t>オセン</t>
    </rPh>
    <phoneticPr fontId="5"/>
  </si>
  <si>
    <t>騒　　音</t>
    <rPh sb="0" eb="1">
      <t>サワ</t>
    </rPh>
    <rPh sb="3" eb="4">
      <t>オト</t>
    </rPh>
    <phoneticPr fontId="5"/>
  </si>
  <si>
    <t>悪　　臭</t>
    <rPh sb="0" eb="1">
      <t>アク</t>
    </rPh>
    <rPh sb="3" eb="4">
      <t>シュウ</t>
    </rPh>
    <phoneticPr fontId="5"/>
  </si>
  <si>
    <t>振　　動</t>
    <rPh sb="0" eb="1">
      <t>ブルイ</t>
    </rPh>
    <rPh sb="3" eb="4">
      <t>ドウ</t>
    </rPh>
    <phoneticPr fontId="5"/>
  </si>
  <si>
    <t>地盤沈下</t>
    <rPh sb="0" eb="2">
      <t>ジバン</t>
    </rPh>
    <rPh sb="2" eb="4">
      <t>チンカ</t>
    </rPh>
    <phoneticPr fontId="5"/>
  </si>
  <si>
    <t>産業廃棄物</t>
    <rPh sb="0" eb="2">
      <t>サンギョウ</t>
    </rPh>
    <rPh sb="2" eb="5">
      <t>ハイキブツ</t>
    </rPh>
    <phoneticPr fontId="5"/>
  </si>
  <si>
    <t>一般廃棄物</t>
    <rPh sb="0" eb="2">
      <t>イッパン</t>
    </rPh>
    <rPh sb="2" eb="5">
      <t>ハイキブツ</t>
    </rPh>
    <phoneticPr fontId="5"/>
  </si>
  <si>
    <t>日照権</t>
    <rPh sb="0" eb="1">
      <t>ヒ</t>
    </rPh>
    <rPh sb="1" eb="2">
      <t>アキラ</t>
    </rPh>
    <rPh sb="2" eb="3">
      <t>ケン</t>
    </rPh>
    <phoneticPr fontId="5"/>
  </si>
  <si>
    <t>通風権</t>
    <rPh sb="0" eb="2">
      <t>ツウフウ</t>
    </rPh>
    <rPh sb="2" eb="3">
      <t>ケン</t>
    </rPh>
    <phoneticPr fontId="5"/>
  </si>
  <si>
    <t>電波障害</t>
    <rPh sb="0" eb="2">
      <t>デンパ</t>
    </rPh>
    <rPh sb="2" eb="4">
      <t>ショウガイ</t>
    </rPh>
    <phoneticPr fontId="5"/>
  </si>
  <si>
    <t>注)平成17年度までは、旧大町市の数値である。</t>
    <rPh sb="0" eb="1">
      <t>チュウ</t>
    </rPh>
    <rPh sb="2" eb="4">
      <t>ヘイセイ</t>
    </rPh>
    <rPh sb="6" eb="8">
      <t>ネンド</t>
    </rPh>
    <rPh sb="12" eb="13">
      <t>キュウ</t>
    </rPh>
    <rPh sb="13" eb="16">
      <t>オオマチシ</t>
    </rPh>
    <rPh sb="17" eb="19">
      <t>スウチ</t>
    </rPh>
    <phoneticPr fontId="5"/>
  </si>
  <si>
    <t>都市計画区域</t>
    <rPh sb="0" eb="2">
      <t>トシ</t>
    </rPh>
    <rPh sb="2" eb="4">
      <t>ケイカク</t>
    </rPh>
    <rPh sb="4" eb="6">
      <t>クイキ</t>
    </rPh>
    <phoneticPr fontId="5"/>
  </si>
  <si>
    <t>指定年月日</t>
    <rPh sb="0" eb="2">
      <t>シテイ</t>
    </rPh>
    <rPh sb="2" eb="5">
      <t>ネンガッピ</t>
    </rPh>
    <phoneticPr fontId="5"/>
  </si>
  <si>
    <t>面　　　積</t>
    <rPh sb="0" eb="1">
      <t>メン</t>
    </rPh>
    <rPh sb="4" eb="5">
      <t>セキ</t>
    </rPh>
    <phoneticPr fontId="5"/>
  </si>
  <si>
    <t>ha　　</t>
    <phoneticPr fontId="5"/>
  </si>
  <si>
    <t>資料：建設課</t>
    <rPh sb="0" eb="2">
      <t>シリョウ</t>
    </rPh>
    <rPh sb="3" eb="5">
      <t>ケンセツ</t>
    </rPh>
    <rPh sb="5" eb="6">
      <t>カ</t>
    </rPh>
    <phoneticPr fontId="5"/>
  </si>
  <si>
    <t>地　域　地　区</t>
    <rPh sb="0" eb="1">
      <t>チ</t>
    </rPh>
    <rPh sb="2" eb="3">
      <t>イキ</t>
    </rPh>
    <rPh sb="4" eb="5">
      <t>チ</t>
    </rPh>
    <rPh sb="6" eb="7">
      <t>ク</t>
    </rPh>
    <phoneticPr fontId="5"/>
  </si>
  <si>
    <t>地域地区</t>
    <rPh sb="0" eb="2">
      <t>チイキ</t>
    </rPh>
    <rPh sb="2" eb="4">
      <t>チク</t>
    </rPh>
    <phoneticPr fontId="5"/>
  </si>
  <si>
    <t>内　　　　　　訳</t>
    <rPh sb="0" eb="1">
      <t>ウチ</t>
    </rPh>
    <rPh sb="7" eb="8">
      <t>ヤク</t>
    </rPh>
    <phoneticPr fontId="5"/>
  </si>
  <si>
    <t>摘　　　　要</t>
    <rPh sb="0" eb="1">
      <t>チャク</t>
    </rPh>
    <rPh sb="5" eb="6">
      <t>ヨウ</t>
    </rPh>
    <phoneticPr fontId="5"/>
  </si>
  <si>
    <t>名　　　　称</t>
    <rPh sb="0" eb="1">
      <t>メイ</t>
    </rPh>
    <rPh sb="5" eb="6">
      <t>ショウ</t>
    </rPh>
    <phoneticPr fontId="5"/>
  </si>
  <si>
    <t>面積（延長）</t>
    <rPh sb="0" eb="2">
      <t>メンセキ</t>
    </rPh>
    <rPh sb="3" eb="5">
      <t>エンチョウ</t>
    </rPh>
    <phoneticPr fontId="5"/>
  </si>
  <si>
    <t>準防火地域</t>
    <rPh sb="0" eb="1">
      <t>ジュン</t>
    </rPh>
    <rPh sb="1" eb="3">
      <t>ボウカ</t>
    </rPh>
    <rPh sb="3" eb="5">
      <t>チイキ</t>
    </rPh>
    <phoneticPr fontId="5"/>
  </si>
  <si>
    <t>ha</t>
    <phoneticPr fontId="5"/>
  </si>
  <si>
    <t>風致地区</t>
    <rPh sb="0" eb="2">
      <t>フウチ</t>
    </rPh>
    <rPh sb="2" eb="4">
      <t>チク</t>
    </rPh>
    <phoneticPr fontId="5"/>
  </si>
  <si>
    <t>木崎湖風致地区（第1・2種）</t>
    <rPh sb="0" eb="2">
      <t>キザキ</t>
    </rPh>
    <rPh sb="2" eb="3">
      <t>コ</t>
    </rPh>
    <rPh sb="3" eb="5">
      <t>フウチ</t>
    </rPh>
    <rPh sb="5" eb="7">
      <t>チク</t>
    </rPh>
    <rPh sb="8" eb="9">
      <t>ダイ</t>
    </rPh>
    <rPh sb="12" eb="13">
      <t>シュ</t>
    </rPh>
    <phoneticPr fontId="5"/>
  </si>
  <si>
    <t>1種528ha、2種70ha</t>
    <rPh sb="1" eb="2">
      <t>シュ</t>
    </rPh>
    <rPh sb="9" eb="10">
      <t>シュ</t>
    </rPh>
    <phoneticPr fontId="5"/>
  </si>
  <si>
    <t>青木湖風致地区（第1種）</t>
    <rPh sb="0" eb="2">
      <t>アオキ</t>
    </rPh>
    <rPh sb="2" eb="3">
      <t>コ</t>
    </rPh>
    <rPh sb="3" eb="5">
      <t>フウチ</t>
    </rPh>
    <rPh sb="5" eb="7">
      <t>チク</t>
    </rPh>
    <rPh sb="8" eb="9">
      <t>ダイ</t>
    </rPh>
    <rPh sb="10" eb="11">
      <t>シュ</t>
    </rPh>
    <phoneticPr fontId="5"/>
  </si>
  <si>
    <t>日向山風致地区（第1種）</t>
    <rPh sb="0" eb="2">
      <t>ヒナタ</t>
    </rPh>
    <rPh sb="2" eb="3">
      <t>ヤマ</t>
    </rPh>
    <rPh sb="3" eb="5">
      <t>フウチ</t>
    </rPh>
    <rPh sb="5" eb="7">
      <t>チク</t>
    </rPh>
    <rPh sb="8" eb="9">
      <t>ダイ</t>
    </rPh>
    <rPh sb="10" eb="11">
      <t>シュ</t>
    </rPh>
    <phoneticPr fontId="5"/>
  </si>
  <si>
    <t>都市計画区域内の用途地域の指定のない区域</t>
    <rPh sb="0" eb="2">
      <t>トシ</t>
    </rPh>
    <rPh sb="2" eb="4">
      <t>ケイカク</t>
    </rPh>
    <rPh sb="4" eb="6">
      <t>クイキ</t>
    </rPh>
    <rPh sb="6" eb="7">
      <t>ナイ</t>
    </rPh>
    <rPh sb="8" eb="10">
      <t>ヨウト</t>
    </rPh>
    <rPh sb="10" eb="12">
      <t>チイキ</t>
    </rPh>
    <rPh sb="13" eb="15">
      <t>シテイ</t>
    </rPh>
    <rPh sb="18" eb="20">
      <t>クイキ</t>
    </rPh>
    <phoneticPr fontId="5"/>
  </si>
  <si>
    <t>（決定年月日：平成16年3月4日　　施行日：平成16年5月1日）</t>
    <rPh sb="7" eb="9">
      <t>ヘイセイ</t>
    </rPh>
    <rPh sb="11" eb="12">
      <t>ネン</t>
    </rPh>
    <rPh sb="13" eb="14">
      <t>ガツ</t>
    </rPh>
    <rPh sb="15" eb="16">
      <t>ニチ</t>
    </rPh>
    <rPh sb="22" eb="24">
      <t>ヘイセイ</t>
    </rPh>
    <rPh sb="26" eb="27">
      <t>ネン</t>
    </rPh>
    <rPh sb="28" eb="29">
      <t>ガツ</t>
    </rPh>
    <rPh sb="30" eb="31">
      <t>ニチ</t>
    </rPh>
    <phoneticPr fontId="5"/>
  </si>
  <si>
    <t>平坦部地区</t>
    <rPh sb="0" eb="2">
      <t>ヘイタン</t>
    </rPh>
    <rPh sb="2" eb="3">
      <t>ブ</t>
    </rPh>
    <rPh sb="3" eb="5">
      <t>チク</t>
    </rPh>
    <phoneticPr fontId="5"/>
  </si>
  <si>
    <t>山間部地区</t>
    <rPh sb="0" eb="3">
      <t>サンカンブ</t>
    </rPh>
    <rPh sb="3" eb="5">
      <t>チク</t>
    </rPh>
    <phoneticPr fontId="5"/>
  </si>
  <si>
    <t>大町温泉郷地区</t>
    <rPh sb="0" eb="2">
      <t>オオマチ</t>
    </rPh>
    <rPh sb="2" eb="4">
      <t>オンセン</t>
    </rPh>
    <rPh sb="4" eb="5">
      <t>ゴウ</t>
    </rPh>
    <rPh sb="5" eb="7">
      <t>チク</t>
    </rPh>
    <phoneticPr fontId="5"/>
  </si>
  <si>
    <t>面積(ha)</t>
    <rPh sb="0" eb="2">
      <t>メンセキ</t>
    </rPh>
    <phoneticPr fontId="5"/>
  </si>
  <si>
    <t>約20</t>
    <rPh sb="0" eb="1">
      <t>ヤク</t>
    </rPh>
    <phoneticPr fontId="5"/>
  </si>
  <si>
    <t>容積率(%)</t>
    <rPh sb="0" eb="2">
      <t>ヨウセキ</t>
    </rPh>
    <rPh sb="2" eb="3">
      <t>リツ</t>
    </rPh>
    <phoneticPr fontId="5"/>
  </si>
  <si>
    <t>建ぺい率(%)</t>
    <rPh sb="0" eb="1">
      <t>ケン</t>
    </rPh>
    <rPh sb="3" eb="4">
      <t>リツ</t>
    </rPh>
    <phoneticPr fontId="5"/>
  </si>
  <si>
    <t>道路斜線</t>
    <rPh sb="0" eb="1">
      <t>ミチ</t>
    </rPh>
    <rPh sb="1" eb="2">
      <t>ロ</t>
    </rPh>
    <rPh sb="2" eb="4">
      <t>シャセン</t>
    </rPh>
    <phoneticPr fontId="5"/>
  </si>
  <si>
    <t>隣地斜線</t>
    <rPh sb="0" eb="2">
      <t>リンチ</t>
    </rPh>
    <rPh sb="2" eb="4">
      <t>シャセン</t>
    </rPh>
    <phoneticPr fontId="5"/>
  </si>
  <si>
    <t>資料：建設課</t>
    <rPh sb="0" eb="2">
      <t>シリョウ</t>
    </rPh>
    <rPh sb="3" eb="6">
      <t>ケンセツカ</t>
    </rPh>
    <phoneticPr fontId="5"/>
  </si>
  <si>
    <t>有線放送の利用状況</t>
    <rPh sb="0" eb="2">
      <t>ユウセン</t>
    </rPh>
    <rPh sb="2" eb="4">
      <t>ホウソウ</t>
    </rPh>
    <rPh sb="5" eb="7">
      <t>リヨウ</t>
    </rPh>
    <rPh sb="7" eb="9">
      <t>ジョウキョウ</t>
    </rPh>
    <phoneticPr fontId="5"/>
  </si>
  <si>
    <t>電話設置台数</t>
    <rPh sb="0" eb="2">
      <t>デンワ</t>
    </rPh>
    <rPh sb="2" eb="4">
      <t>セッチ</t>
    </rPh>
    <rPh sb="4" eb="6">
      <t>ダイスウ</t>
    </rPh>
    <phoneticPr fontId="5"/>
  </si>
  <si>
    <t>放送設備
設置台数</t>
    <rPh sb="0" eb="2">
      <t>ホウソウ</t>
    </rPh>
    <rPh sb="2" eb="4">
      <t>セツビ</t>
    </rPh>
    <rPh sb="5" eb="7">
      <t>セッチ</t>
    </rPh>
    <rPh sb="7" eb="9">
      <t>ダイスウ</t>
    </rPh>
    <phoneticPr fontId="5"/>
  </si>
  <si>
    <t>１日平均
通話数</t>
    <rPh sb="1" eb="2">
      <t>ニチ</t>
    </rPh>
    <rPh sb="2" eb="4">
      <t>ヘイキン</t>
    </rPh>
    <rPh sb="5" eb="7">
      <t>ツウワ</t>
    </rPh>
    <rPh sb="7" eb="8">
      <t>スウ</t>
    </rPh>
    <phoneticPr fontId="5"/>
  </si>
  <si>
    <t>１日平均
放送件数</t>
    <rPh sb="1" eb="2">
      <t>ニチ</t>
    </rPh>
    <rPh sb="2" eb="4">
      <t>ヘイキン</t>
    </rPh>
    <rPh sb="5" eb="7">
      <t>ホウソウ</t>
    </rPh>
    <rPh sb="7" eb="9">
      <t>ケンスウ</t>
    </rPh>
    <phoneticPr fontId="5"/>
  </si>
  <si>
    <t>平成25年度</t>
    <rPh sb="0" eb="2">
      <t>ヘイセイ</t>
    </rPh>
    <rPh sb="4" eb="5">
      <t>ネン</t>
    </rPh>
    <rPh sb="5" eb="6">
      <t>ド</t>
    </rPh>
    <phoneticPr fontId="5"/>
  </si>
  <si>
    <t>資料：大町市有線放送電話農業協同組合</t>
    <rPh sb="0" eb="2">
      <t>シリョウ</t>
    </rPh>
    <rPh sb="3" eb="6">
      <t>オオマチシ</t>
    </rPh>
    <rPh sb="6" eb="8">
      <t>ユウセン</t>
    </rPh>
    <rPh sb="8" eb="10">
      <t>ホウソウ</t>
    </rPh>
    <rPh sb="10" eb="12">
      <t>デンワ</t>
    </rPh>
    <rPh sb="12" eb="14">
      <t>ノウギョウ</t>
    </rPh>
    <rPh sb="14" eb="16">
      <t>キョウドウ</t>
    </rPh>
    <rPh sb="16" eb="18">
      <t>クミアイ</t>
    </rPh>
    <phoneticPr fontId="5"/>
  </si>
  <si>
    <t>自動車の保有台数</t>
    <rPh sb="0" eb="2">
      <t>ジドウシ</t>
    </rPh>
    <rPh sb="2" eb="3">
      <t>シャホ</t>
    </rPh>
    <rPh sb="4" eb="8">
      <t>ホユウダイスウ</t>
    </rPh>
    <phoneticPr fontId="29"/>
  </si>
  <si>
    <t>各年3月31日現在（単位：両）</t>
    <rPh sb="0" eb="2">
      <t>カクネンガ</t>
    </rPh>
    <rPh sb="3" eb="4">
      <t>ガツニ</t>
    </rPh>
    <rPh sb="6" eb="7">
      <t>ニチゲ</t>
    </rPh>
    <rPh sb="7" eb="9">
      <t>ゲンザイタ</t>
    </rPh>
    <rPh sb="10" eb="12">
      <t>タンイリ</t>
    </rPh>
    <rPh sb="13" eb="14">
      <t>リョウ</t>
    </rPh>
    <phoneticPr fontId="29"/>
  </si>
  <si>
    <t>年 　　度</t>
    <rPh sb="0" eb="1">
      <t>ネンド</t>
    </rPh>
    <rPh sb="4" eb="5">
      <t>ド</t>
    </rPh>
    <phoneticPr fontId="29"/>
  </si>
  <si>
    <t>貨          物</t>
    <rPh sb="0" eb="1">
      <t>カモ</t>
    </rPh>
    <rPh sb="11" eb="12">
      <t>モノ</t>
    </rPh>
    <phoneticPr fontId="29"/>
  </si>
  <si>
    <t>乗    合</t>
    <rPh sb="0" eb="1">
      <t>ジョウゴ</t>
    </rPh>
    <rPh sb="5" eb="6">
      <t>ゴウ</t>
    </rPh>
    <phoneticPr fontId="29"/>
  </si>
  <si>
    <t>乗          用</t>
    <rPh sb="0" eb="1">
      <t>ジョウヨ</t>
    </rPh>
    <rPh sb="11" eb="12">
      <t>ヨウ</t>
    </rPh>
    <phoneticPr fontId="29"/>
  </si>
  <si>
    <t>小    計</t>
    <rPh sb="0" eb="1">
      <t>ショウケ</t>
    </rPh>
    <rPh sb="5" eb="6">
      <t>ケイ</t>
    </rPh>
    <phoneticPr fontId="29"/>
  </si>
  <si>
    <t>被けん引</t>
    <rPh sb="0" eb="1">
      <t>ヒイ</t>
    </rPh>
    <rPh sb="3" eb="4">
      <t>イン</t>
    </rPh>
    <phoneticPr fontId="29"/>
  </si>
  <si>
    <t>特種
用途車</t>
    <rPh sb="0" eb="1">
      <t>トクシ</t>
    </rPh>
    <rPh sb="1" eb="2">
      <t>シュ</t>
    </rPh>
    <phoneticPr fontId="29"/>
  </si>
  <si>
    <t>大型
特殊車</t>
    <rPh sb="0" eb="1">
      <t>ダイカ</t>
    </rPh>
    <rPh sb="1" eb="2">
      <t>カタ</t>
    </rPh>
    <phoneticPr fontId="29"/>
  </si>
  <si>
    <t>小型二輪</t>
    <rPh sb="0" eb="2">
      <t>コガタニ</t>
    </rPh>
    <rPh sb="2" eb="4">
      <t>ニリン</t>
    </rPh>
    <phoneticPr fontId="29"/>
  </si>
  <si>
    <t>※軽自動車</t>
    <rPh sb="1" eb="2">
      <t>ケイジ</t>
    </rPh>
    <rPh sb="2" eb="3">
      <t>ジド</t>
    </rPh>
    <rPh sb="3" eb="4">
      <t>ドウク</t>
    </rPh>
    <rPh sb="4" eb="5">
      <t>クルマ</t>
    </rPh>
    <phoneticPr fontId="29"/>
  </si>
  <si>
    <t>※小型
特殊車
（農耕用）</t>
    <rPh sb="1" eb="2">
      <t>ショウカ</t>
    </rPh>
    <rPh sb="2" eb="3">
      <t>カタ</t>
    </rPh>
    <phoneticPr fontId="29"/>
  </si>
  <si>
    <t>※原付自転車</t>
    <rPh sb="1" eb="2">
      <t>ハラヅ</t>
    </rPh>
    <rPh sb="2" eb="3">
      <t>ヅケジ</t>
    </rPh>
    <rPh sb="3" eb="4">
      <t>ジテ</t>
    </rPh>
    <rPh sb="4" eb="5">
      <t>テンク</t>
    </rPh>
    <rPh sb="5" eb="6">
      <t>クルマ</t>
    </rPh>
    <phoneticPr fontId="29"/>
  </si>
  <si>
    <t>普 通 車</t>
    <rPh sb="0" eb="1">
      <t>アマネツ</t>
    </rPh>
    <rPh sb="2" eb="3">
      <t>ツウク</t>
    </rPh>
    <rPh sb="4" eb="5">
      <t>クルマ</t>
    </rPh>
    <phoneticPr fontId="29"/>
  </si>
  <si>
    <t>小 型 車</t>
    <rPh sb="0" eb="1">
      <t>ショウカ</t>
    </rPh>
    <rPh sb="2" eb="3">
      <t>カタク</t>
    </rPh>
    <rPh sb="4" eb="5">
      <t>クルマ</t>
    </rPh>
    <phoneticPr fontId="29"/>
  </si>
  <si>
    <t>四          輪</t>
    <rPh sb="0" eb="1">
      <t>４ワ</t>
    </rPh>
    <rPh sb="11" eb="12">
      <t>ワ</t>
    </rPh>
    <phoneticPr fontId="29"/>
  </si>
  <si>
    <t>三    輪</t>
    <rPh sb="0" eb="1">
      <t>３ワ</t>
    </rPh>
    <rPh sb="5" eb="6">
      <t>ワ</t>
    </rPh>
    <phoneticPr fontId="29"/>
  </si>
  <si>
    <t>二    輪</t>
    <rPh sb="0" eb="1">
      <t>ニワ</t>
    </rPh>
    <rPh sb="5" eb="6">
      <t>ワ</t>
    </rPh>
    <phoneticPr fontId="29"/>
  </si>
  <si>
    <t>第 一 種</t>
    <rPh sb="0" eb="1">
      <t>ダイ1</t>
    </rPh>
    <rPh sb="2" eb="3">
      <t>1シ</t>
    </rPh>
    <rPh sb="4" eb="5">
      <t>シュ</t>
    </rPh>
    <phoneticPr fontId="29"/>
  </si>
  <si>
    <t>第 二 種</t>
    <rPh sb="0" eb="1">
      <t>ダイ2</t>
    </rPh>
    <rPh sb="2" eb="3">
      <t>2シ</t>
    </rPh>
    <rPh sb="4" eb="5">
      <t>シュ</t>
    </rPh>
    <phoneticPr fontId="29"/>
  </si>
  <si>
    <t>乗    用</t>
    <rPh sb="0" eb="1">
      <t>ジョウヨ</t>
    </rPh>
    <rPh sb="5" eb="6">
      <t>ヨウ</t>
    </rPh>
    <phoneticPr fontId="29"/>
  </si>
  <si>
    <t>貨    物</t>
    <rPh sb="0" eb="1">
      <t>カモ</t>
    </rPh>
    <rPh sb="5" eb="6">
      <t>モノ</t>
    </rPh>
    <phoneticPr fontId="29"/>
  </si>
  <si>
    <t>平成22年度</t>
    <rPh sb="0" eb="2">
      <t>ヘイセイネ</t>
    </rPh>
    <rPh sb="4" eb="6">
      <t>ネンド</t>
    </rPh>
    <phoneticPr fontId="29"/>
  </si>
  <si>
    <t>自家用</t>
    <rPh sb="0" eb="2">
      <t>ジカヨウ</t>
    </rPh>
    <phoneticPr fontId="29"/>
  </si>
  <si>
    <t>営業用</t>
    <rPh sb="0" eb="2">
      <t>エイギョウヨウ</t>
    </rPh>
    <phoneticPr fontId="29"/>
  </si>
  <si>
    <t>平成27年度</t>
    <rPh sb="0" eb="2">
      <t>ヘイセイネ</t>
    </rPh>
    <rPh sb="4" eb="6">
      <t>ネンド</t>
    </rPh>
    <phoneticPr fontId="29"/>
  </si>
  <si>
    <t>令和2年度</t>
    <rPh sb="0" eb="2">
      <t>レイワネ</t>
    </rPh>
    <rPh sb="3" eb="5">
      <t>ネンド</t>
    </rPh>
    <phoneticPr fontId="29"/>
  </si>
  <si>
    <t>令和3年度</t>
    <rPh sb="0" eb="2">
      <t>レイワネ</t>
    </rPh>
    <rPh sb="3" eb="5">
      <t>ネンド</t>
    </rPh>
    <phoneticPr fontId="29"/>
  </si>
  <si>
    <t>令和4年度</t>
    <rPh sb="0" eb="2">
      <t>レイワネ</t>
    </rPh>
    <rPh sb="3" eb="5">
      <t>ネンド</t>
    </rPh>
    <phoneticPr fontId="29"/>
  </si>
  <si>
    <t>※は課税対象台数</t>
    <rPh sb="2" eb="4">
      <t>カゼイタ</t>
    </rPh>
    <rPh sb="4" eb="6">
      <t>タイショウダ</t>
    </rPh>
    <rPh sb="6" eb="8">
      <t>ダイスウ</t>
    </rPh>
    <phoneticPr fontId="29"/>
  </si>
  <si>
    <t>金融機関の預金・貸出残高状況</t>
    <rPh sb="0" eb="2">
      <t>キンユウ</t>
    </rPh>
    <rPh sb="2" eb="4">
      <t>キカン</t>
    </rPh>
    <rPh sb="5" eb="7">
      <t>ヨキン</t>
    </rPh>
    <rPh sb="8" eb="10">
      <t>カシダシ</t>
    </rPh>
    <rPh sb="10" eb="12">
      <t>ザンダカ</t>
    </rPh>
    <rPh sb="12" eb="14">
      <t>ジョウキョウ</t>
    </rPh>
    <phoneticPr fontId="5"/>
  </si>
  <si>
    <t>各年9月30日現在</t>
    <rPh sb="0" eb="1">
      <t>カク</t>
    </rPh>
    <rPh sb="1" eb="2">
      <t>ネン</t>
    </rPh>
    <rPh sb="3" eb="4">
      <t>ガツ</t>
    </rPh>
    <rPh sb="6" eb="7">
      <t>ニチ</t>
    </rPh>
    <rPh sb="7" eb="9">
      <t>ゲンザイ</t>
    </rPh>
    <phoneticPr fontId="5"/>
  </si>
  <si>
    <t>年  次</t>
    <rPh sb="0" eb="1">
      <t>トシ</t>
    </rPh>
    <rPh sb="3" eb="4">
      <t>ツギ</t>
    </rPh>
    <phoneticPr fontId="5"/>
  </si>
  <si>
    <t>預　金　残　高</t>
    <rPh sb="0" eb="1">
      <t>アズカリ</t>
    </rPh>
    <rPh sb="2" eb="3">
      <t>カネ</t>
    </rPh>
    <rPh sb="4" eb="5">
      <t>ザン</t>
    </rPh>
    <rPh sb="6" eb="7">
      <t>タカ</t>
    </rPh>
    <phoneticPr fontId="5"/>
  </si>
  <si>
    <t>貸　出　残　高</t>
    <rPh sb="0" eb="1">
      <t>カシ</t>
    </rPh>
    <rPh sb="2" eb="3">
      <t>デ</t>
    </rPh>
    <rPh sb="4" eb="5">
      <t>ザン</t>
    </rPh>
    <rPh sb="6" eb="7">
      <t>タカ</t>
    </rPh>
    <phoneticPr fontId="5"/>
  </si>
  <si>
    <t>平成8年</t>
    <rPh sb="0" eb="2">
      <t>ヘイセイ</t>
    </rPh>
    <rPh sb="3" eb="4">
      <t>ネン</t>
    </rPh>
    <phoneticPr fontId="5"/>
  </si>
  <si>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</si>
  <si>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</si>
  <si>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</si>
  <si>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</si>
  <si>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資料：市内金融機関　
　　　八十二銀行大町支店、長野銀行大町支店、長野県信用組合大町支店、
　　　長野県労働金庫大町支店、松本信用金庫大町支店</t>
    <rPh sb="0" eb="2">
      <t>シリョウ</t>
    </rPh>
    <rPh sb="3" eb="5">
      <t>シナイ</t>
    </rPh>
    <rPh sb="5" eb="7">
      <t>キンユウ</t>
    </rPh>
    <rPh sb="7" eb="9">
      <t>キカン</t>
    </rPh>
    <rPh sb="14" eb="17">
      <t>ハチジュウニ</t>
    </rPh>
    <rPh sb="17" eb="19">
      <t>ギンコウ</t>
    </rPh>
    <rPh sb="19" eb="21">
      <t>オオマチ</t>
    </rPh>
    <rPh sb="21" eb="23">
      <t>シテン</t>
    </rPh>
    <rPh sb="24" eb="26">
      <t>ナガノ</t>
    </rPh>
    <rPh sb="26" eb="28">
      <t>ギンコウ</t>
    </rPh>
    <rPh sb="28" eb="30">
      <t>オオマチ</t>
    </rPh>
    <rPh sb="30" eb="32">
      <t>シテン</t>
    </rPh>
    <rPh sb="33" eb="36">
      <t>ナガノケン</t>
    </rPh>
    <rPh sb="36" eb="38">
      <t>シンヨウ</t>
    </rPh>
    <rPh sb="38" eb="40">
      <t>クミアイ</t>
    </rPh>
    <rPh sb="40" eb="42">
      <t>オオマチ</t>
    </rPh>
    <rPh sb="42" eb="44">
      <t>シテン</t>
    </rPh>
    <rPh sb="61" eb="63">
      <t>マツモト</t>
    </rPh>
    <rPh sb="63" eb="65">
      <t>シンヨウ</t>
    </rPh>
    <rPh sb="65" eb="67">
      <t>キンコ</t>
    </rPh>
    <rPh sb="67" eb="69">
      <t>オオマチ</t>
    </rPh>
    <rPh sb="69" eb="71">
      <t>シテン</t>
    </rPh>
    <phoneticPr fontId="5"/>
  </si>
  <si>
    <t>産業別市町村内総生産</t>
    <phoneticPr fontId="5"/>
  </si>
  <si>
    <t>（単位：100万円）</t>
    <phoneticPr fontId="5"/>
  </si>
  <si>
    <t>区　　　　分</t>
  </si>
  <si>
    <t>総　　　　生　　　　産</t>
    <phoneticPr fontId="5"/>
  </si>
  <si>
    <t>平成26年度</t>
    <rPh sb="0" eb="2">
      <t>ヘイセイ</t>
    </rPh>
    <rPh sb="4" eb="6">
      <t>ネンド</t>
    </rPh>
    <phoneticPr fontId="5"/>
  </si>
  <si>
    <t>平成28年</t>
    <rPh sb="0" eb="2">
      <t>ヘイセイ</t>
    </rPh>
    <rPh sb="4" eb="5">
      <t>トシ</t>
    </rPh>
    <phoneticPr fontId="5"/>
  </si>
  <si>
    <t>農林水産業</t>
    <phoneticPr fontId="5"/>
  </si>
  <si>
    <t>鉱業</t>
    <phoneticPr fontId="5"/>
  </si>
  <si>
    <t>製造業</t>
    <phoneticPr fontId="5"/>
  </si>
  <si>
    <t>電気･ガス･水道業</t>
    <phoneticPr fontId="5"/>
  </si>
  <si>
    <t>建設業</t>
    <phoneticPr fontId="5"/>
  </si>
  <si>
    <t>卸売･小売業</t>
    <phoneticPr fontId="5"/>
  </si>
  <si>
    <t>運輸・郵便業</t>
    <rPh sb="3" eb="5">
      <t>ユウビン</t>
    </rPh>
    <phoneticPr fontId="5"/>
  </si>
  <si>
    <t>飲食・サービス業</t>
    <rPh sb="0" eb="2">
      <t>インショク</t>
    </rPh>
    <phoneticPr fontId="5"/>
  </si>
  <si>
    <t>情報通信業</t>
    <phoneticPr fontId="5"/>
  </si>
  <si>
    <t>金融･保険業</t>
    <phoneticPr fontId="5"/>
  </si>
  <si>
    <t>不動産業</t>
    <phoneticPr fontId="5"/>
  </si>
  <si>
    <t>専門・科学技術、業務支援サービス業</t>
    <phoneticPr fontId="5"/>
  </si>
  <si>
    <t>教育</t>
    <rPh sb="0" eb="2">
      <t>キョウイク</t>
    </rPh>
    <phoneticPr fontId="5"/>
  </si>
  <si>
    <t>保健衛生・社会事業</t>
  </si>
  <si>
    <t>その他のサービス</t>
    <phoneticPr fontId="5"/>
  </si>
  <si>
    <t>17　小計（１～16）</t>
    <phoneticPr fontId="5"/>
  </si>
  <si>
    <t>18  輸入品に課される税・関税</t>
    <phoneticPr fontId="5"/>
  </si>
  <si>
    <t>19 （控除）総資本形成に係る消費税</t>
    <phoneticPr fontId="5"/>
  </si>
  <si>
    <t>20  市町村内総生産（17＋18－19）</t>
    <phoneticPr fontId="5"/>
  </si>
  <si>
    <t>資料：市町村民所得推計</t>
    <rPh sb="0" eb="2">
      <t>シリョウ</t>
    </rPh>
    <rPh sb="3" eb="6">
      <t>シチョウソン</t>
    </rPh>
    <rPh sb="6" eb="7">
      <t>ミン</t>
    </rPh>
    <rPh sb="7" eb="9">
      <t>ショトク</t>
    </rPh>
    <rPh sb="9" eb="11">
      <t>スイケイ</t>
    </rPh>
    <phoneticPr fontId="5"/>
  </si>
  <si>
    <t xml:space="preserve"> 注）前年度公表後に確定した統計値を使用して遡及改訂を行っているため、過去の公表値と異なる場合があります。</t>
    <rPh sb="1" eb="2">
      <t>チュウ</t>
    </rPh>
    <rPh sb="3" eb="6">
      <t>ゼンネンド</t>
    </rPh>
    <rPh sb="6" eb="8">
      <t>コウヒョウ</t>
    </rPh>
    <rPh sb="8" eb="9">
      <t>ゴ</t>
    </rPh>
    <rPh sb="10" eb="12">
      <t>カクテイ</t>
    </rPh>
    <rPh sb="14" eb="16">
      <t>トウケイ</t>
    </rPh>
    <rPh sb="16" eb="17">
      <t>チ</t>
    </rPh>
    <rPh sb="18" eb="20">
      <t>シヨウ</t>
    </rPh>
    <rPh sb="22" eb="24">
      <t>ソキュウ</t>
    </rPh>
    <rPh sb="24" eb="26">
      <t>カイテイ</t>
    </rPh>
    <rPh sb="27" eb="28">
      <t>オコナ</t>
    </rPh>
    <rPh sb="35" eb="37">
      <t>カコ</t>
    </rPh>
    <rPh sb="38" eb="40">
      <t>コウヒョウ</t>
    </rPh>
    <rPh sb="40" eb="41">
      <t>チ</t>
    </rPh>
    <rPh sb="42" eb="43">
      <t>コト</t>
    </rPh>
    <rPh sb="45" eb="47">
      <t>バアイ</t>
    </rPh>
    <phoneticPr fontId="5"/>
  </si>
  <si>
    <t>市町村民所得・可処分所得の分配</t>
    <rPh sb="7" eb="10">
      <t>カショブン</t>
    </rPh>
    <rPh sb="10" eb="12">
      <t>ショトク</t>
    </rPh>
    <rPh sb="13" eb="15">
      <t>ブンパイ</t>
    </rPh>
    <phoneticPr fontId="5"/>
  </si>
  <si>
    <t>（単位：100万円）</t>
    <rPh sb="1" eb="3">
      <t>タンイ</t>
    </rPh>
    <rPh sb="7" eb="9">
      <t>マンエン</t>
    </rPh>
    <phoneticPr fontId="5"/>
  </si>
  <si>
    <t>平成19年度</t>
    <rPh sb="0" eb="2">
      <t>ヘイセイ</t>
    </rPh>
    <rPh sb="4" eb="5">
      <t>トシ</t>
    </rPh>
    <rPh sb="5" eb="6">
      <t>タビ</t>
    </rPh>
    <phoneticPr fontId="5"/>
  </si>
  <si>
    <t>平成20年度</t>
    <rPh sb="0" eb="2">
      <t>ヘイセイ</t>
    </rPh>
    <rPh sb="4" eb="5">
      <t>トシ</t>
    </rPh>
    <rPh sb="5" eb="6">
      <t>タビ</t>
    </rPh>
    <phoneticPr fontId="5"/>
  </si>
  <si>
    <t>平成21年度</t>
    <rPh sb="0" eb="2">
      <t>ヘイセイ</t>
    </rPh>
    <phoneticPr fontId="5"/>
  </si>
  <si>
    <t>平成22年度</t>
    <rPh sb="0" eb="2">
      <t>ヘイセイ</t>
    </rPh>
    <phoneticPr fontId="5"/>
  </si>
  <si>
    <t>平成23年度</t>
    <rPh sb="0" eb="2">
      <t>ヘイセイ</t>
    </rPh>
    <phoneticPr fontId="5"/>
  </si>
  <si>
    <t>平成24年度</t>
    <rPh sb="0" eb="2">
      <t>ヘイセイ</t>
    </rPh>
    <phoneticPr fontId="5"/>
  </si>
  <si>
    <t>平成25年度</t>
    <rPh sb="0" eb="2">
      <t>ヘイセイ</t>
    </rPh>
    <phoneticPr fontId="5"/>
  </si>
  <si>
    <t>平成26年度</t>
    <rPh sb="0" eb="2">
      <t>ヘイセイ</t>
    </rPh>
    <phoneticPr fontId="5"/>
  </si>
  <si>
    <t>平成27年度</t>
    <rPh sb="0" eb="2">
      <t>ヘイセイ</t>
    </rPh>
    <phoneticPr fontId="5"/>
  </si>
  <si>
    <t>平成28年度</t>
    <rPh sb="0" eb="2">
      <t>ヘイセイ</t>
    </rPh>
    <rPh sb="4" eb="5">
      <t>ネン</t>
    </rPh>
    <rPh sb="5" eb="6">
      <t>ド</t>
    </rPh>
    <phoneticPr fontId="5"/>
  </si>
  <si>
    <t>令和元年</t>
    <rPh sb="0" eb="2">
      <t>レイワ</t>
    </rPh>
    <rPh sb="2" eb="4">
      <t>ガンネン</t>
    </rPh>
    <rPh sb="3" eb="4">
      <t>ネン</t>
    </rPh>
    <phoneticPr fontId="5"/>
  </si>
  <si>
    <t>１．雇用者報酬</t>
    <rPh sb="2" eb="5">
      <t>コヨウシャ</t>
    </rPh>
    <rPh sb="5" eb="7">
      <t>ホウシュウ</t>
    </rPh>
    <phoneticPr fontId="31"/>
  </si>
  <si>
    <t>(１)賃金・俸給</t>
    <rPh sb="3" eb="5">
      <t>チンギン</t>
    </rPh>
    <rPh sb="6" eb="8">
      <t>ホウキュウ</t>
    </rPh>
    <phoneticPr fontId="31"/>
  </si>
  <si>
    <t>(２)雇主の社会負担</t>
    <rPh sb="3" eb="5">
      <t>ヤトイヌシ</t>
    </rPh>
    <rPh sb="6" eb="8">
      <t>シャカイ</t>
    </rPh>
    <rPh sb="8" eb="10">
      <t>フタン</t>
    </rPh>
    <phoneticPr fontId="31"/>
  </si>
  <si>
    <t>　　　　　ａ.雇主の現実社会負担</t>
    <rPh sb="7" eb="9">
      <t>ヤトイヌシ</t>
    </rPh>
    <rPh sb="10" eb="12">
      <t>ゲンジツ</t>
    </rPh>
    <rPh sb="12" eb="14">
      <t>シャカイ</t>
    </rPh>
    <rPh sb="14" eb="16">
      <t>フタン</t>
    </rPh>
    <phoneticPr fontId="31"/>
  </si>
  <si>
    <t>　　　　　ｂ.雇主の帰属社会負担</t>
    <rPh sb="7" eb="9">
      <t>ヤトイヌシ</t>
    </rPh>
    <rPh sb="10" eb="12">
      <t>キゾク</t>
    </rPh>
    <rPh sb="12" eb="14">
      <t>シャカイ</t>
    </rPh>
    <rPh sb="14" eb="16">
      <t>フタン</t>
    </rPh>
    <phoneticPr fontId="31"/>
  </si>
  <si>
    <t>２．財産所得（非企業部門）</t>
    <rPh sb="2" eb="4">
      <t>ザイサン</t>
    </rPh>
    <rPh sb="4" eb="6">
      <t>ショトク</t>
    </rPh>
    <rPh sb="7" eb="8">
      <t>ヒ</t>
    </rPh>
    <rPh sb="8" eb="10">
      <t>キギョウ</t>
    </rPh>
    <rPh sb="10" eb="12">
      <t>ブモン</t>
    </rPh>
    <phoneticPr fontId="31"/>
  </si>
  <si>
    <t>　　　　　ａ.受　取</t>
    <rPh sb="7" eb="8">
      <t>ウケ</t>
    </rPh>
    <rPh sb="9" eb="10">
      <t>トリ</t>
    </rPh>
    <phoneticPr fontId="31"/>
  </si>
  <si>
    <t>　　　　　ｂ.支　払</t>
    <rPh sb="7" eb="8">
      <t>ササ</t>
    </rPh>
    <rPh sb="9" eb="10">
      <t>フツ</t>
    </rPh>
    <phoneticPr fontId="31"/>
  </si>
  <si>
    <t>(１)一般政府（地方政府等）</t>
    <rPh sb="3" eb="5">
      <t>イッパン</t>
    </rPh>
    <rPh sb="5" eb="7">
      <t>セイフ</t>
    </rPh>
    <rPh sb="8" eb="10">
      <t>チホウ</t>
    </rPh>
    <rPh sb="10" eb="12">
      <t>セイフ</t>
    </rPh>
    <rPh sb="12" eb="13">
      <t>トウ</t>
    </rPh>
    <phoneticPr fontId="47"/>
  </si>
  <si>
    <t>(２)家　計</t>
    <rPh sb="3" eb="4">
      <t>イエ</t>
    </rPh>
    <rPh sb="5" eb="6">
      <t>ケイ</t>
    </rPh>
    <phoneticPr fontId="31"/>
  </si>
  <si>
    <t>　　　　　①利　子</t>
    <rPh sb="6" eb="7">
      <t>リ</t>
    </rPh>
    <rPh sb="8" eb="9">
      <t>コ</t>
    </rPh>
    <phoneticPr fontId="31"/>
  </si>
  <si>
    <t>　　　　　　　　ａ.受　取</t>
    <rPh sb="10" eb="11">
      <t>ウケ</t>
    </rPh>
    <rPh sb="12" eb="13">
      <t>トリ</t>
    </rPh>
    <phoneticPr fontId="31"/>
  </si>
  <si>
    <t>　　　　　　　　ｂ.支　払（消費者負債利子）</t>
    <rPh sb="10" eb="11">
      <t>ササ</t>
    </rPh>
    <rPh sb="12" eb="13">
      <t>フツ</t>
    </rPh>
    <rPh sb="14" eb="17">
      <t>ショウヒシャ</t>
    </rPh>
    <rPh sb="17" eb="19">
      <t>フサイ</t>
    </rPh>
    <rPh sb="19" eb="21">
      <t>リシ</t>
    </rPh>
    <phoneticPr fontId="31"/>
  </si>
  <si>
    <t>　　　　　②配当（受取）</t>
    <rPh sb="6" eb="8">
      <t>ハイトウ</t>
    </rPh>
    <rPh sb="9" eb="11">
      <t>ウケトリ</t>
    </rPh>
    <phoneticPr fontId="31"/>
  </si>
  <si>
    <t>　　　　　③その他の投資所得</t>
    <rPh sb="8" eb="9">
      <t>タ</t>
    </rPh>
    <rPh sb="10" eb="12">
      <t>トウシ</t>
    </rPh>
    <rPh sb="12" eb="14">
      <t>ショトク</t>
    </rPh>
    <phoneticPr fontId="31"/>
  </si>
  <si>
    <t>　　　　　④賃貸料（受取）</t>
    <rPh sb="6" eb="8">
      <t>チンタイ</t>
    </rPh>
    <rPh sb="8" eb="9">
      <t>リョウ</t>
    </rPh>
    <rPh sb="10" eb="12">
      <t>ウケトリ</t>
    </rPh>
    <phoneticPr fontId="31"/>
  </si>
  <si>
    <t>(３)対家計民間非営利団体</t>
    <rPh sb="3" eb="4">
      <t>タイ</t>
    </rPh>
    <rPh sb="4" eb="6">
      <t>カケイ</t>
    </rPh>
    <rPh sb="6" eb="8">
      <t>ミンカン</t>
    </rPh>
    <rPh sb="8" eb="11">
      <t>ヒエイリ</t>
    </rPh>
    <rPh sb="11" eb="13">
      <t>ダンタイ</t>
    </rPh>
    <phoneticPr fontId="31"/>
  </si>
  <si>
    <t>３．企業所得（企業部門）</t>
    <rPh sb="2" eb="4">
      <t>キギョウ</t>
    </rPh>
    <rPh sb="4" eb="6">
      <t>ショトク</t>
    </rPh>
    <rPh sb="7" eb="9">
      <t>キギョウ</t>
    </rPh>
    <rPh sb="9" eb="11">
      <t>ブモン</t>
    </rPh>
    <phoneticPr fontId="31"/>
  </si>
  <si>
    <t>(１)民間法人企業</t>
    <rPh sb="3" eb="5">
      <t>ミンカン</t>
    </rPh>
    <rPh sb="5" eb="7">
      <t>ホウジン</t>
    </rPh>
    <rPh sb="7" eb="9">
      <t>キギョウ</t>
    </rPh>
    <phoneticPr fontId="31"/>
  </si>
  <si>
    <t>　　　　　ａ.非金融法人企業</t>
    <rPh sb="7" eb="8">
      <t>ヒ</t>
    </rPh>
    <rPh sb="8" eb="10">
      <t>キンユウ</t>
    </rPh>
    <rPh sb="10" eb="12">
      <t>ホウジン</t>
    </rPh>
    <rPh sb="12" eb="14">
      <t>キギョウ</t>
    </rPh>
    <phoneticPr fontId="31"/>
  </si>
  <si>
    <t>　　　　　ｂ.金融機関</t>
    <rPh sb="7" eb="9">
      <t>キンユウ</t>
    </rPh>
    <rPh sb="9" eb="11">
      <t>キカン</t>
    </rPh>
    <phoneticPr fontId="31"/>
  </si>
  <si>
    <t>(２)公的企業</t>
    <rPh sb="3" eb="5">
      <t>コウテキ</t>
    </rPh>
    <rPh sb="5" eb="7">
      <t>キギョウ</t>
    </rPh>
    <phoneticPr fontId="31"/>
  </si>
  <si>
    <t>(３)個人企業</t>
    <rPh sb="3" eb="5">
      <t>コジン</t>
    </rPh>
    <rPh sb="5" eb="7">
      <t>キギョウ</t>
    </rPh>
    <phoneticPr fontId="31"/>
  </si>
  <si>
    <t>　　　　　ａ.農林水産業</t>
    <rPh sb="7" eb="9">
      <t>ノウリン</t>
    </rPh>
    <rPh sb="9" eb="12">
      <t>スイサンギョウ</t>
    </rPh>
    <phoneticPr fontId="31"/>
  </si>
  <si>
    <t>　　　　　ｂ.その他の産業(非農林水・非金融)</t>
    <rPh sb="9" eb="10">
      <t>タ</t>
    </rPh>
    <rPh sb="11" eb="13">
      <t>サンギョウ</t>
    </rPh>
    <rPh sb="14" eb="15">
      <t>ヒ</t>
    </rPh>
    <rPh sb="15" eb="17">
      <t>ノウリン</t>
    </rPh>
    <rPh sb="17" eb="18">
      <t>ミズ</t>
    </rPh>
    <rPh sb="19" eb="20">
      <t>ヒ</t>
    </rPh>
    <rPh sb="20" eb="22">
      <t>キンユウ</t>
    </rPh>
    <phoneticPr fontId="31"/>
  </si>
  <si>
    <t>　　　　　ｃ.持ち家</t>
    <rPh sb="7" eb="8">
      <t>モ</t>
    </rPh>
    <rPh sb="9" eb="10">
      <t>イエ</t>
    </rPh>
    <phoneticPr fontId="31"/>
  </si>
  <si>
    <t>４．市町村民所得（要素費用表示）（1+2+3）</t>
    <rPh sb="2" eb="5">
      <t>シチョウソン</t>
    </rPh>
    <rPh sb="5" eb="6">
      <t>ミン</t>
    </rPh>
    <rPh sb="6" eb="8">
      <t>ショトク</t>
    </rPh>
    <rPh sb="9" eb="11">
      <t>ヨウソ</t>
    </rPh>
    <rPh sb="11" eb="13">
      <t>ヒヨウ</t>
    </rPh>
    <rPh sb="13" eb="15">
      <t>ヒョウジ</t>
    </rPh>
    <phoneticPr fontId="31"/>
  </si>
  <si>
    <t>５．生産・輸入品に課される税(控除)補助金</t>
    <rPh sb="2" eb="4">
      <t>セイサン</t>
    </rPh>
    <rPh sb="5" eb="7">
      <t>ユニュウ</t>
    </rPh>
    <rPh sb="7" eb="8">
      <t>ヒン</t>
    </rPh>
    <rPh sb="9" eb="10">
      <t>カ</t>
    </rPh>
    <rPh sb="13" eb="14">
      <t>ゼイ</t>
    </rPh>
    <rPh sb="15" eb="17">
      <t>コウジョ</t>
    </rPh>
    <rPh sb="18" eb="21">
      <t>ホジョキン</t>
    </rPh>
    <phoneticPr fontId="31"/>
  </si>
  <si>
    <t>６．市町村民所得（第１次所得バランス）（4+5）</t>
    <rPh sb="2" eb="5">
      <t>シチョウソン</t>
    </rPh>
    <rPh sb="5" eb="6">
      <t>ミン</t>
    </rPh>
    <rPh sb="6" eb="8">
      <t>ショトク</t>
    </rPh>
    <phoneticPr fontId="31"/>
  </si>
  <si>
    <t>　注）前年度公表後に確定した統計値を使用して遡及改訂を行っているため、過去の公表値と異なる場合があります。</t>
    <rPh sb="1" eb="2">
      <t>チュウ</t>
    </rPh>
    <rPh sb="3" eb="6">
      <t>ゼンネンド</t>
    </rPh>
    <rPh sb="6" eb="8">
      <t>コウヒョウ</t>
    </rPh>
    <rPh sb="8" eb="9">
      <t>ゴ</t>
    </rPh>
    <rPh sb="10" eb="12">
      <t>カクテイ</t>
    </rPh>
    <rPh sb="14" eb="16">
      <t>トウケイ</t>
    </rPh>
    <rPh sb="16" eb="17">
      <t>チ</t>
    </rPh>
    <rPh sb="18" eb="20">
      <t>シヨウ</t>
    </rPh>
    <rPh sb="22" eb="24">
      <t>ソキュウ</t>
    </rPh>
    <rPh sb="24" eb="26">
      <t>カイテイ</t>
    </rPh>
    <rPh sb="27" eb="28">
      <t>オコナ</t>
    </rPh>
    <rPh sb="35" eb="37">
      <t>カコ</t>
    </rPh>
    <rPh sb="38" eb="40">
      <t>コウヒョウ</t>
    </rPh>
    <rPh sb="40" eb="41">
      <t>チ</t>
    </rPh>
    <rPh sb="42" eb="43">
      <t>コト</t>
    </rPh>
    <rPh sb="45" eb="47">
      <t>バアイ</t>
    </rPh>
    <phoneticPr fontId="5"/>
  </si>
  <si>
    <t>山岳遭難事故の状況</t>
    <rPh sb="0" eb="2">
      <t>サンガクソ</t>
    </rPh>
    <rPh sb="2" eb="4">
      <t>ソウナンジ</t>
    </rPh>
    <rPh sb="4" eb="6">
      <t>ジコジ</t>
    </rPh>
    <rPh sb="7" eb="9">
      <t>ジョウキョウ</t>
    </rPh>
    <phoneticPr fontId="5"/>
  </si>
  <si>
    <t>　　　　　　　　　　　年　次
原因別</t>
    <rPh sb="11" eb="12">
      <t>ネンジ</t>
    </rPh>
    <rPh sb="13" eb="14">
      <t>ジゲ</t>
    </rPh>
    <rPh sb="15" eb="17">
      <t>ゲンインベ</t>
    </rPh>
    <rPh sb="17" eb="18">
      <t>ベツ</t>
    </rPh>
    <phoneticPr fontId="5"/>
  </si>
  <si>
    <t>平成
28年</t>
  </si>
  <si>
    <t>平成
29年</t>
  </si>
  <si>
    <t>平成
30年</t>
  </si>
  <si>
    <t>平成
31年</t>
  </si>
  <si>
    <t>発生件数</t>
    <rPh sb="0" eb="2">
      <t>ハッセイケ</t>
    </rPh>
    <rPh sb="2" eb="4">
      <t>ケンスウ</t>
    </rPh>
    <phoneticPr fontId="5"/>
  </si>
  <si>
    <t>件</t>
  </si>
  <si>
    <t>死亡者</t>
    <rPh sb="0" eb="2">
      <t>シボウシ</t>
    </rPh>
    <rPh sb="2" eb="3">
      <t>シャ</t>
    </rPh>
    <phoneticPr fontId="5"/>
  </si>
  <si>
    <t>救出された者（うち負傷者）</t>
    <rPh sb="0" eb="2">
      <t>キュウシュツモ</t>
    </rPh>
    <rPh sb="5" eb="6">
      <t>モノフ</t>
    </rPh>
    <rPh sb="9" eb="12">
      <t>フショウシャ</t>
    </rPh>
    <phoneticPr fontId="5"/>
  </si>
  <si>
    <t>行方不明の者</t>
    <rPh sb="0" eb="2">
      <t>ユクエフ</t>
    </rPh>
    <rPh sb="2" eb="4">
      <t>フメイシャモ</t>
    </rPh>
    <rPh sb="5" eb="6">
      <t>モノ</t>
    </rPh>
    <phoneticPr fontId="5"/>
  </si>
  <si>
    <t>総数</t>
    <rPh sb="0" eb="1">
      <t>ソウスウ</t>
    </rPh>
    <phoneticPr fontId="5"/>
  </si>
  <si>
    <t>転落・滑落・転倒</t>
    <rPh sb="0" eb="2">
      <t>テンラクカ</t>
    </rPh>
    <rPh sb="3" eb="5">
      <t>カツラクテ</t>
    </rPh>
    <rPh sb="6" eb="8">
      <t>テントウ</t>
    </rPh>
    <phoneticPr fontId="5"/>
  </si>
  <si>
    <t>雪崩</t>
    <rPh sb="0" eb="1">
      <t>ナダレ</t>
    </rPh>
    <phoneticPr fontId="5"/>
  </si>
  <si>
    <t>落石・崩落</t>
    <rPh sb="0" eb="2">
      <t>ラクセキホ</t>
    </rPh>
    <rPh sb="3" eb="5">
      <t>ホウラク</t>
    </rPh>
    <phoneticPr fontId="5"/>
  </si>
  <si>
    <t>道迷い</t>
    <rPh sb="0" eb="1">
      <t>ミチマ</t>
    </rPh>
    <rPh sb="1" eb="2">
      <t>マヨ</t>
    </rPh>
    <phoneticPr fontId="5"/>
  </si>
  <si>
    <t>病気</t>
    <rPh sb="0" eb="1">
      <t>ビョウキ</t>
    </rPh>
    <phoneticPr fontId="5"/>
  </si>
  <si>
    <t>疲労・凍死傷</t>
    <rPh sb="0" eb="2">
      <t>ヒロウト</t>
    </rPh>
    <rPh sb="3" eb="5">
      <t>トウシキ</t>
    </rPh>
    <rPh sb="5" eb="6">
      <t>キズ</t>
    </rPh>
    <phoneticPr fontId="5"/>
  </si>
  <si>
    <t>原因不明・その他</t>
    <rPh sb="0" eb="2">
      <t>ゲンインフ</t>
    </rPh>
    <rPh sb="2" eb="4">
      <t>フメイタ</t>
    </rPh>
    <rPh sb="7" eb="8">
      <t>タ</t>
    </rPh>
    <phoneticPr fontId="5"/>
  </si>
  <si>
    <t>資料：大町警察署　注）大町警察署管内の数値である。</t>
    <rPh sb="0" eb="2">
      <t>シリョウオ</t>
    </rPh>
    <rPh sb="3" eb="5">
      <t>オオマチケ</t>
    </rPh>
    <rPh sb="5" eb="8">
      <t>ケイサツショチ</t>
    </rPh>
    <rPh sb="9" eb="10">
      <t>チュウオ</t>
    </rPh>
    <rPh sb="11" eb="13">
      <t>オオマチケ</t>
    </rPh>
    <rPh sb="13" eb="16">
      <t>ケイサツショカ</t>
    </rPh>
    <rPh sb="16" eb="18">
      <t>カンナイス</t>
    </rPh>
    <rPh sb="19" eb="21">
      <t>スウチ</t>
    </rPh>
    <phoneticPr fontId="5"/>
  </si>
  <si>
    <t>交　通　違　反</t>
    <rPh sb="0" eb="3">
      <t>コウツウ</t>
    </rPh>
    <rPh sb="4" eb="7">
      <t>イハン</t>
    </rPh>
    <phoneticPr fontId="5"/>
  </si>
  <si>
    <t>対前年比</t>
    <rPh sb="0" eb="1">
      <t>タイ</t>
    </rPh>
    <rPh sb="1" eb="3">
      <t>ゼンネンド</t>
    </rPh>
    <rPh sb="3" eb="4">
      <t>ヒ</t>
    </rPh>
    <phoneticPr fontId="5"/>
  </si>
  <si>
    <t>資料：大町警察署　</t>
    <rPh sb="0" eb="2">
      <t>シリョウ</t>
    </rPh>
    <rPh sb="3" eb="5">
      <t>オオマチ</t>
    </rPh>
    <rPh sb="5" eb="8">
      <t>ケイサツショ</t>
    </rPh>
    <phoneticPr fontId="5"/>
  </si>
  <si>
    <t>注）大町警察署管内の数値</t>
    <phoneticPr fontId="5"/>
  </si>
  <si>
    <t>交　通　事　故</t>
    <rPh sb="0" eb="3">
      <t>コウツウ</t>
    </rPh>
    <rPh sb="4" eb="7">
      <t>ジコ</t>
    </rPh>
    <phoneticPr fontId="5"/>
  </si>
  <si>
    <t>年    次</t>
    <rPh sb="0" eb="1">
      <t>トシ</t>
    </rPh>
    <rPh sb="5" eb="6">
      <t>ツギ</t>
    </rPh>
    <phoneticPr fontId="5"/>
  </si>
  <si>
    <t>死   傷   者</t>
    <rPh sb="0" eb="1">
      <t>シ</t>
    </rPh>
    <rPh sb="4" eb="5">
      <t>キズ</t>
    </rPh>
    <rPh sb="8" eb="9">
      <t>モノ</t>
    </rPh>
    <phoneticPr fontId="5"/>
  </si>
  <si>
    <t>事  故  件  数</t>
    <rPh sb="0" eb="1">
      <t>コト</t>
    </rPh>
    <rPh sb="3" eb="4">
      <t>ユエ</t>
    </rPh>
    <rPh sb="6" eb="7">
      <t>ケン</t>
    </rPh>
    <rPh sb="9" eb="10">
      <t>カズ</t>
    </rPh>
    <phoneticPr fontId="5"/>
  </si>
  <si>
    <t>死　者</t>
    <rPh sb="0" eb="1">
      <t>シ</t>
    </rPh>
    <rPh sb="2" eb="3">
      <t>モノ</t>
    </rPh>
    <phoneticPr fontId="5"/>
  </si>
  <si>
    <t>傷　者</t>
    <rPh sb="0" eb="1">
      <t>キズ</t>
    </rPh>
    <rPh sb="2" eb="3">
      <t>モノ</t>
    </rPh>
    <phoneticPr fontId="5"/>
  </si>
  <si>
    <t>自動車</t>
    <rPh sb="0" eb="3">
      <t>ジドウシャ</t>
    </rPh>
    <phoneticPr fontId="5"/>
  </si>
  <si>
    <t>二輪車
（含原付）</t>
    <rPh sb="0" eb="3">
      <t>ニリンシャ</t>
    </rPh>
    <rPh sb="5" eb="6">
      <t>フク</t>
    </rPh>
    <rPh sb="6" eb="8">
      <t>ゲンツキ</t>
    </rPh>
    <phoneticPr fontId="5"/>
  </si>
  <si>
    <t>その他の車</t>
    <rPh sb="2" eb="3">
      <t>タ</t>
    </rPh>
    <rPh sb="4" eb="5">
      <t>クルマ</t>
    </rPh>
    <phoneticPr fontId="5"/>
  </si>
  <si>
    <t>資料：大町警察署　注）大町警察署管内の数値</t>
    <rPh sb="0" eb="2">
      <t>シリョウ</t>
    </rPh>
    <rPh sb="3" eb="5">
      <t>オオマチ</t>
    </rPh>
    <rPh sb="5" eb="8">
      <t>ケイサツショ</t>
    </rPh>
    <rPh sb="9" eb="10">
      <t>チュウ</t>
    </rPh>
    <rPh sb="11" eb="13">
      <t>オオマチ</t>
    </rPh>
    <rPh sb="13" eb="15">
      <t>ケイサツ</t>
    </rPh>
    <rPh sb="15" eb="16">
      <t>ショ</t>
    </rPh>
    <rPh sb="16" eb="18">
      <t>カンナイ</t>
    </rPh>
    <rPh sb="19" eb="21">
      <t>スウチ</t>
    </rPh>
    <phoneticPr fontId="5"/>
  </si>
  <si>
    <t>刑法犯罪の発生件数と検挙件数</t>
    <rPh sb="0" eb="2">
      <t>ケイホウ</t>
    </rPh>
    <rPh sb="2" eb="4">
      <t>ハンザイ</t>
    </rPh>
    <rPh sb="5" eb="7">
      <t>ハッセイ</t>
    </rPh>
    <rPh sb="7" eb="9">
      <t>ケンスウ</t>
    </rPh>
    <rPh sb="10" eb="12">
      <t>ケンキョ</t>
    </rPh>
    <rPh sb="12" eb="14">
      <t>ケンスウ</t>
    </rPh>
    <phoneticPr fontId="5"/>
  </si>
  <si>
    <t>年   次</t>
    <rPh sb="0" eb="1">
      <t>トシ</t>
    </rPh>
    <rPh sb="4" eb="5">
      <t>ツギ</t>
    </rPh>
    <phoneticPr fontId="5"/>
  </si>
  <si>
    <t>凶悪犯</t>
    <rPh sb="0" eb="1">
      <t>キョウ</t>
    </rPh>
    <rPh sb="1" eb="2">
      <t>アク</t>
    </rPh>
    <rPh sb="2" eb="3">
      <t>ハン</t>
    </rPh>
    <phoneticPr fontId="5"/>
  </si>
  <si>
    <t>一般犯</t>
    <rPh sb="0" eb="1">
      <t>１</t>
    </rPh>
    <rPh sb="1" eb="2">
      <t>バン</t>
    </rPh>
    <rPh sb="2" eb="3">
      <t>ハン</t>
    </rPh>
    <phoneticPr fontId="5"/>
  </si>
  <si>
    <t>殺人</t>
    <rPh sb="0" eb="2">
      <t>サツジン</t>
    </rPh>
    <phoneticPr fontId="5"/>
  </si>
  <si>
    <t>強盗</t>
    <rPh sb="0" eb="1">
      <t>キョウ</t>
    </rPh>
    <rPh sb="1" eb="2">
      <t>トウ</t>
    </rPh>
    <phoneticPr fontId="5"/>
  </si>
  <si>
    <t>放火</t>
    <rPh sb="0" eb="2">
      <t>ホウカ</t>
    </rPh>
    <phoneticPr fontId="5"/>
  </si>
  <si>
    <t>不同意
性交等</t>
    <rPh sb="0" eb="3">
      <t>フドウイ</t>
    </rPh>
    <rPh sb="4" eb="6">
      <t>セイコウ</t>
    </rPh>
    <rPh sb="6" eb="7">
      <t>トウ</t>
    </rPh>
    <phoneticPr fontId="5"/>
  </si>
  <si>
    <t>暴行傷害</t>
    <rPh sb="0" eb="2">
      <t>ボウコウ</t>
    </rPh>
    <rPh sb="2" eb="4">
      <t>ショウガイ</t>
    </rPh>
    <phoneticPr fontId="5"/>
  </si>
  <si>
    <t>窃盗</t>
    <rPh sb="0" eb="2">
      <t>セットウ</t>
    </rPh>
    <phoneticPr fontId="5"/>
  </si>
  <si>
    <t>詐欺</t>
    <rPh sb="0" eb="2">
      <t>サギ</t>
    </rPh>
    <phoneticPr fontId="5"/>
  </si>
  <si>
    <t>横領</t>
    <rPh sb="0" eb="2">
      <t>オウリョウ</t>
    </rPh>
    <phoneticPr fontId="5"/>
  </si>
  <si>
    <t>その他
刑法犯</t>
    <rPh sb="2" eb="3">
      <t>タ</t>
    </rPh>
    <rPh sb="4" eb="6">
      <t>ケイホウ</t>
    </rPh>
    <rPh sb="6" eb="7">
      <t>ハン</t>
    </rPh>
    <phoneticPr fontId="5"/>
  </si>
  <si>
    <t>令和 2年</t>
    <rPh sb="0" eb="2">
      <t>レイワ</t>
    </rPh>
    <rPh sb="4" eb="5">
      <t>ネン</t>
    </rPh>
    <phoneticPr fontId="5"/>
  </si>
  <si>
    <t>発生</t>
    <rPh sb="0" eb="2">
      <t>ハッセイ</t>
    </rPh>
    <phoneticPr fontId="5"/>
  </si>
  <si>
    <t>検挙</t>
    <rPh sb="0" eb="2">
      <t>ケンキョ</t>
    </rPh>
    <phoneticPr fontId="5"/>
  </si>
  <si>
    <t>資料：大町警察署　注）1.大町警察署管内の数値である。</t>
    <rPh sb="0" eb="2">
      <t>シリョウ</t>
    </rPh>
    <rPh sb="3" eb="5">
      <t>オオマチ</t>
    </rPh>
    <rPh sb="5" eb="8">
      <t>ケイサツショ</t>
    </rPh>
    <rPh sb="9" eb="10">
      <t>チュウ</t>
    </rPh>
    <rPh sb="13" eb="15">
      <t>オオマチ</t>
    </rPh>
    <rPh sb="15" eb="17">
      <t>ケイサツ</t>
    </rPh>
    <rPh sb="17" eb="18">
      <t>ショ</t>
    </rPh>
    <rPh sb="18" eb="20">
      <t>カンナイ</t>
    </rPh>
    <rPh sb="21" eb="23">
      <t>スウチ</t>
    </rPh>
    <phoneticPr fontId="5"/>
  </si>
  <si>
    <t>　　　　　　　　　　　2.その他刑法犯には、強制わいせつ、偽造、恐喝、脅迫等を含む。</t>
    <phoneticPr fontId="5"/>
  </si>
  <si>
    <t>民事事件の推移</t>
    <rPh sb="0" eb="2">
      <t>ミンジ</t>
    </rPh>
    <rPh sb="2" eb="4">
      <t>ジケン</t>
    </rPh>
    <rPh sb="5" eb="7">
      <t>スイイ</t>
    </rPh>
    <phoneticPr fontId="5"/>
  </si>
  <si>
    <t>（単位：件）</t>
    <rPh sb="1" eb="3">
      <t>タンイ</t>
    </rPh>
    <rPh sb="4" eb="5">
      <t>ケン</t>
    </rPh>
    <phoneticPr fontId="5"/>
  </si>
  <si>
    <t>年　次</t>
    <rPh sb="0" eb="1">
      <t>トシ</t>
    </rPh>
    <rPh sb="2" eb="3">
      <t>ツギ</t>
    </rPh>
    <phoneticPr fontId="5"/>
  </si>
  <si>
    <t>総　　　数</t>
    <rPh sb="0" eb="1">
      <t>フサ</t>
    </rPh>
    <rPh sb="4" eb="5">
      <t>カズ</t>
    </rPh>
    <phoneticPr fontId="5"/>
  </si>
  <si>
    <t>訴訟事件</t>
    <rPh sb="0" eb="2">
      <t>ソショウ</t>
    </rPh>
    <rPh sb="2" eb="4">
      <t>ジケン</t>
    </rPh>
    <phoneticPr fontId="5"/>
  </si>
  <si>
    <t>督促事件</t>
    <rPh sb="0" eb="2">
      <t>トクソク</t>
    </rPh>
    <rPh sb="2" eb="4">
      <t>ジケン</t>
    </rPh>
    <phoneticPr fontId="5"/>
  </si>
  <si>
    <t>民事調停事件</t>
    <rPh sb="0" eb="2">
      <t>ミンジ</t>
    </rPh>
    <rPh sb="2" eb="4">
      <t>チョウテイ</t>
    </rPh>
    <rPh sb="4" eb="6">
      <t>ジケン</t>
    </rPh>
    <phoneticPr fontId="5"/>
  </si>
  <si>
    <t>その他の事件</t>
    <rPh sb="2" eb="3">
      <t>タ</t>
    </rPh>
    <rPh sb="4" eb="6">
      <t>ジケン</t>
    </rPh>
    <phoneticPr fontId="5"/>
  </si>
  <si>
    <t>新受</t>
    <rPh sb="0" eb="1">
      <t>シン</t>
    </rPh>
    <rPh sb="1" eb="2">
      <t>ウ</t>
    </rPh>
    <phoneticPr fontId="5"/>
  </si>
  <si>
    <t>既済</t>
    <rPh sb="0" eb="2">
      <t>キサイ</t>
    </rPh>
    <phoneticPr fontId="5"/>
  </si>
  <si>
    <t>未済</t>
    <rPh sb="0" eb="2">
      <t>ミサイ</t>
    </rPh>
    <phoneticPr fontId="5"/>
  </si>
  <si>
    <t>平成15年</t>
    <rPh sb="0" eb="2">
      <t>ヘイセイ</t>
    </rPh>
    <rPh sb="4" eb="5">
      <t>ネン</t>
    </rPh>
    <phoneticPr fontId="5"/>
  </si>
  <si>
    <t>資料：長野地方裁判所より提供</t>
    <rPh sb="0" eb="2">
      <t>シリョウ</t>
    </rPh>
    <rPh sb="3" eb="5">
      <t>ナガノ</t>
    </rPh>
    <rPh sb="5" eb="7">
      <t>チホウ</t>
    </rPh>
    <rPh sb="7" eb="10">
      <t>サイバンショ</t>
    </rPh>
    <rPh sb="12" eb="14">
      <t>テイキョウ</t>
    </rPh>
    <phoneticPr fontId="5"/>
  </si>
  <si>
    <t>注）1.数値は、大町簡易裁判所の取扱件数である。</t>
    <phoneticPr fontId="5"/>
  </si>
  <si>
    <t>　　2.令和5年の数値は概数である。</t>
    <rPh sb="4" eb="5">
      <t>レイ</t>
    </rPh>
    <rPh sb="5" eb="6">
      <t>カズ</t>
    </rPh>
    <rPh sb="7" eb="8">
      <t>ネン</t>
    </rPh>
    <rPh sb="8" eb="9">
      <t>ヘイネン</t>
    </rPh>
    <rPh sb="9" eb="11">
      <t>スウチ</t>
    </rPh>
    <rPh sb="12" eb="14">
      <t>ガイスウ</t>
    </rPh>
    <phoneticPr fontId="5"/>
  </si>
  <si>
    <t>　　3.訴訟事件の内訳</t>
    <rPh sb="4" eb="6">
      <t>ソショウ</t>
    </rPh>
    <rPh sb="6" eb="8">
      <t>ジケン</t>
    </rPh>
    <rPh sb="9" eb="11">
      <t>ウチワケ</t>
    </rPh>
    <phoneticPr fontId="5"/>
  </si>
  <si>
    <t>　　　通常訴訟，手形・小切手訴訟，少額訴訟，少額訴訟判決異議</t>
    <rPh sb="3" eb="5">
      <t>ツウジョウ</t>
    </rPh>
    <rPh sb="5" eb="7">
      <t>ソショウ</t>
    </rPh>
    <rPh sb="8" eb="10">
      <t>テガタ</t>
    </rPh>
    <rPh sb="11" eb="14">
      <t>コギッテ</t>
    </rPh>
    <rPh sb="14" eb="16">
      <t>ソショウ</t>
    </rPh>
    <rPh sb="17" eb="19">
      <t>ショウガク</t>
    </rPh>
    <rPh sb="19" eb="21">
      <t>ソショウ</t>
    </rPh>
    <rPh sb="22" eb="24">
      <t>ショウガク</t>
    </rPh>
    <rPh sb="24" eb="26">
      <t>ソショウ</t>
    </rPh>
    <rPh sb="26" eb="28">
      <t>ハンケツ</t>
    </rPh>
    <rPh sb="28" eb="30">
      <t>イギ</t>
    </rPh>
    <phoneticPr fontId="5"/>
  </si>
  <si>
    <t>　　4.民事調停事件の内訳</t>
    <rPh sb="4" eb="6">
      <t>ミンジ</t>
    </rPh>
    <rPh sb="6" eb="8">
      <t>チョウテイ</t>
    </rPh>
    <rPh sb="8" eb="10">
      <t>ジケン</t>
    </rPh>
    <rPh sb="11" eb="13">
      <t>ウチワケ</t>
    </rPh>
    <phoneticPr fontId="5"/>
  </si>
  <si>
    <t>　　　一般調停，宅地建物調停，農事調停，商事調停，交通調停，公害等調停，特定調停</t>
    <rPh sb="3" eb="5">
      <t>イッパン</t>
    </rPh>
    <rPh sb="5" eb="7">
      <t>チョウテイ</t>
    </rPh>
    <rPh sb="8" eb="10">
      <t>タクチ</t>
    </rPh>
    <rPh sb="10" eb="12">
      <t>タテモノ</t>
    </rPh>
    <rPh sb="12" eb="14">
      <t>チョウテイ</t>
    </rPh>
    <rPh sb="15" eb="17">
      <t>ノウジ</t>
    </rPh>
    <rPh sb="17" eb="19">
      <t>チョウテイ</t>
    </rPh>
    <rPh sb="20" eb="22">
      <t>ショウジ</t>
    </rPh>
    <rPh sb="22" eb="24">
      <t>チョウテイ</t>
    </rPh>
    <rPh sb="25" eb="27">
      <t>コウツウ</t>
    </rPh>
    <rPh sb="27" eb="29">
      <t>チョウテイ</t>
    </rPh>
    <phoneticPr fontId="5"/>
  </si>
  <si>
    <t>刑事事件の推移</t>
    <rPh sb="0" eb="2">
      <t>ケイジ</t>
    </rPh>
    <rPh sb="2" eb="4">
      <t>ジケン</t>
    </rPh>
    <rPh sb="5" eb="7">
      <t>スイイ</t>
    </rPh>
    <phoneticPr fontId="5"/>
  </si>
  <si>
    <t>（単位：人）</t>
    <rPh sb="1" eb="3">
      <t>タンイ</t>
    </rPh>
    <rPh sb="4" eb="5">
      <t>ヒト</t>
    </rPh>
    <phoneticPr fontId="5"/>
  </si>
  <si>
    <t>略式事件</t>
    <rPh sb="0" eb="2">
      <t>リャクシキ</t>
    </rPh>
    <rPh sb="2" eb="4">
      <t>ジケン</t>
    </rPh>
    <phoneticPr fontId="5"/>
  </si>
  <si>
    <t>注）1.数値は、大町簡易裁判所の取扱人員である。</t>
    <phoneticPr fontId="5"/>
  </si>
  <si>
    <t>　　　通常第一審、再審事件</t>
    <rPh sb="3" eb="5">
      <t>ツウジョウ</t>
    </rPh>
    <rPh sb="5" eb="6">
      <t>ダイ</t>
    </rPh>
    <rPh sb="6" eb="8">
      <t>イッシン</t>
    </rPh>
    <rPh sb="9" eb="11">
      <t>サイシン</t>
    </rPh>
    <rPh sb="11" eb="13">
      <t>ジケン</t>
    </rPh>
    <phoneticPr fontId="5"/>
  </si>
  <si>
    <t>家事事件の推移</t>
    <rPh sb="0" eb="2">
      <t>カジ</t>
    </rPh>
    <rPh sb="2" eb="4">
      <t>ジケン</t>
    </rPh>
    <rPh sb="5" eb="7">
      <t>スイイ</t>
    </rPh>
    <phoneticPr fontId="5"/>
  </si>
  <si>
    <t>審　　　判</t>
    <rPh sb="0" eb="1">
      <t>シン</t>
    </rPh>
    <rPh sb="4" eb="5">
      <t>ハン</t>
    </rPh>
    <phoneticPr fontId="5"/>
  </si>
  <si>
    <t>調　　　停</t>
    <rPh sb="0" eb="1">
      <t>チョウ</t>
    </rPh>
    <rPh sb="4" eb="5">
      <t>テイ</t>
    </rPh>
    <phoneticPr fontId="5"/>
  </si>
  <si>
    <t>そ　の　他</t>
    <rPh sb="4" eb="5">
      <t>タ</t>
    </rPh>
    <phoneticPr fontId="5"/>
  </si>
  <si>
    <t>注）1.数値は、大町市を管轄する長野家庭裁判所松本支部の取扱件数である。</t>
    <phoneticPr fontId="5"/>
  </si>
  <si>
    <t>　　2.令和6年の数値は概数である。</t>
    <rPh sb="4" eb="5">
      <t>レイ</t>
    </rPh>
    <rPh sb="5" eb="6">
      <t>カズ</t>
    </rPh>
    <rPh sb="7" eb="8">
      <t>ネン</t>
    </rPh>
    <rPh sb="8" eb="9">
      <t>ヘイネン</t>
    </rPh>
    <rPh sb="9" eb="11">
      <t>スウチ</t>
    </rPh>
    <rPh sb="12" eb="14">
      <t>ガイスウ</t>
    </rPh>
    <phoneticPr fontId="5"/>
  </si>
  <si>
    <t>北アルプスの紹介</t>
    <phoneticPr fontId="5"/>
  </si>
  <si>
    <t>　北アルプス（飛騨山脈）は長野・新潟・富山・岐阜の４県にまたがり、奥穂高岳（3,190m）を筆頭に標高3,000mを超える山々を多く連ねて本州の中央部に位置する山脈で、中央アルプス（木曽山脈）・南アルプス（赤石山脈）とともに日本の屋根ともいえる日本アルプスを形成している。
　その生い立ちは新生代第四紀の初め（約260万年前）頃までさかのぼる。そのころから始まった隆起活動は、火山に象徴されるようなマグマ活動を伴いながら今もなお続いている。この大山脈の東側には糸魚川－静岡構造線をはさんで、約2,000～1,500万年前形成された、フォッサマグナ（大地溝帯）が広がっており、北アルプスとは地形や地質の点で大きく異なっている。
　日本海の親不知付近の海底からそそりたつ北アルプスの山脈群は、北の朝日岳（2,418ｍ）から南の乗鞍岳まで約87.5ｋｍにわたる。この間は黒部・高瀬・梓川が形成する渓谷によって、西側かは剱岳から五色ヶ原にかけての立山連峰、白馬岳から乗鞍にかけての後立山連峰～裏銀座～槍・穂高連峰、および最も東側に位置する常念山地に分けられる。
一帯は中部山岳国立公園に指定され、自然環境・景観が保護されつつ登山者･スキーヤー･観光客など多くの人々に親しまれている。
　高山植物の咲き乱れるお花畑、高山に生きる動物たち、山と渓谷の織り成す山岳美、険しい岩と雪氷、そして山麓の独特の文化的景観と出で湯など、裾野から山頂まで四季にわたる魅力は尽きず、北アルプスは世界に誇ることができる日本の山々の代表格となっている。</t>
    <phoneticPr fontId="4"/>
  </si>
  <si>
    <t>大町の山岳標高一覧（2,400ｍ以上）　　標高降順</t>
    <rPh sb="0" eb="2">
      <t>オオマチ</t>
    </rPh>
    <rPh sb="3" eb="5">
      <t>サンガク</t>
    </rPh>
    <rPh sb="5" eb="7">
      <t>ヒョウコウ</t>
    </rPh>
    <rPh sb="7" eb="9">
      <t>イチラン</t>
    </rPh>
    <rPh sb="16" eb="18">
      <t>イジョウ</t>
    </rPh>
    <rPh sb="21" eb="23">
      <t>ヒョウコウ</t>
    </rPh>
    <rPh sb="23" eb="24">
      <t>コウ</t>
    </rPh>
    <rPh sb="24" eb="25">
      <t>ジュン</t>
    </rPh>
    <phoneticPr fontId="5"/>
  </si>
  <si>
    <t>山　　名</t>
    <rPh sb="0" eb="1">
      <t>ヤマ</t>
    </rPh>
    <rPh sb="3" eb="4">
      <t>メイ</t>
    </rPh>
    <phoneticPr fontId="5"/>
  </si>
  <si>
    <t>読　　み</t>
    <rPh sb="0" eb="1">
      <t>ヨ</t>
    </rPh>
    <phoneticPr fontId="5"/>
  </si>
  <si>
    <t>標高（ｍ）</t>
    <rPh sb="0" eb="2">
      <t>ヒョウコウ</t>
    </rPh>
    <phoneticPr fontId="5"/>
  </si>
  <si>
    <t>境　　界　・　備　　考　</t>
    <rPh sb="0" eb="1">
      <t>サカイ</t>
    </rPh>
    <rPh sb="3" eb="4">
      <t>カイ</t>
    </rPh>
    <rPh sb="7" eb="8">
      <t>ソナエ</t>
    </rPh>
    <rPh sb="10" eb="11">
      <t>コウ</t>
    </rPh>
    <phoneticPr fontId="5"/>
  </si>
  <si>
    <t>槍ヶ岳</t>
    <rPh sb="0" eb="3">
      <t>ヤリガタケ</t>
    </rPh>
    <phoneticPr fontId="5"/>
  </si>
  <si>
    <t>ヤリガタケ</t>
    <phoneticPr fontId="5"/>
  </si>
  <si>
    <t>大町市・松本市　</t>
    <rPh sb="0" eb="3">
      <t>オオマチシ</t>
    </rPh>
    <rPh sb="4" eb="7">
      <t>マツモトシ</t>
    </rPh>
    <phoneticPr fontId="5"/>
  </si>
  <si>
    <t>野口五郎岳</t>
    <rPh sb="0" eb="2">
      <t>ノグチ</t>
    </rPh>
    <rPh sb="2" eb="4">
      <t>ゴロウ</t>
    </rPh>
    <rPh sb="4" eb="5">
      <t>タケ</t>
    </rPh>
    <phoneticPr fontId="5"/>
  </si>
  <si>
    <t>ノグチゴロウダケ</t>
    <phoneticPr fontId="5"/>
  </si>
  <si>
    <t>大町市・富山市</t>
    <rPh sb="0" eb="3">
      <t>オオマチシ</t>
    </rPh>
    <rPh sb="4" eb="7">
      <t>トヤマシ</t>
    </rPh>
    <phoneticPr fontId="5"/>
  </si>
  <si>
    <t>鷲羽岳</t>
    <rPh sb="0" eb="1">
      <t>ワシ</t>
    </rPh>
    <rPh sb="1" eb="2">
      <t>ハネ</t>
    </rPh>
    <rPh sb="2" eb="3">
      <t>タケ</t>
    </rPh>
    <phoneticPr fontId="5"/>
  </si>
  <si>
    <t>ワシバダケ</t>
    <phoneticPr fontId="5"/>
  </si>
  <si>
    <t>大天井岳</t>
    <rPh sb="0" eb="1">
      <t>ダイ</t>
    </rPh>
    <rPh sb="1" eb="3">
      <t>テンジョウ</t>
    </rPh>
    <rPh sb="3" eb="4">
      <t>タケ</t>
    </rPh>
    <phoneticPr fontId="5"/>
  </si>
  <si>
    <t>ダイテンジョウダケ</t>
    <phoneticPr fontId="5"/>
  </si>
  <si>
    <t>大町市・安曇野市・松本市</t>
    <rPh sb="0" eb="3">
      <t>オオマチシ</t>
    </rPh>
    <rPh sb="4" eb="7">
      <t>アズミノ</t>
    </rPh>
    <rPh sb="7" eb="8">
      <t>シ</t>
    </rPh>
    <rPh sb="9" eb="12">
      <t>マツモトシ</t>
    </rPh>
    <phoneticPr fontId="5"/>
  </si>
  <si>
    <t>(オテンショウダケ）</t>
    <phoneticPr fontId="5"/>
  </si>
  <si>
    <t>鹿島槍ヶ岳</t>
    <rPh sb="0" eb="2">
      <t>カシマ</t>
    </rPh>
    <rPh sb="2" eb="5">
      <t>ヤリガタケ</t>
    </rPh>
    <phoneticPr fontId="5"/>
  </si>
  <si>
    <t>カシマヤリガタケ</t>
    <phoneticPr fontId="5"/>
  </si>
  <si>
    <t>大町市・黒部市・立山町</t>
    <rPh sb="0" eb="3">
      <t>オオマチシ</t>
    </rPh>
    <rPh sb="4" eb="7">
      <t>クロベシ</t>
    </rPh>
    <rPh sb="8" eb="11">
      <t>タテヤママチ</t>
    </rPh>
    <phoneticPr fontId="5"/>
  </si>
  <si>
    <t>ワリモ岳</t>
    <rPh sb="3" eb="4">
      <t>ダケ</t>
    </rPh>
    <phoneticPr fontId="5"/>
  </si>
  <si>
    <t>ワリモダケ</t>
    <phoneticPr fontId="5"/>
  </si>
  <si>
    <t>真砂岳</t>
    <rPh sb="0" eb="1">
      <t>シン</t>
    </rPh>
    <rPh sb="1" eb="2">
      <t>スナ</t>
    </rPh>
    <rPh sb="2" eb="3">
      <t>ダケ</t>
    </rPh>
    <phoneticPr fontId="5"/>
  </si>
  <si>
    <t>マサゴダケ</t>
    <phoneticPr fontId="5"/>
  </si>
  <si>
    <t>大町市・富山市　</t>
    <rPh sb="0" eb="3">
      <t>オオマチシ</t>
    </rPh>
    <rPh sb="4" eb="7">
      <t>トヤマシ</t>
    </rPh>
    <phoneticPr fontId="5"/>
  </si>
  <si>
    <t>双六岳</t>
    <rPh sb="0" eb="1">
      <t>ソウ</t>
    </rPh>
    <rPh sb="1" eb="2">
      <t>ロク</t>
    </rPh>
    <rPh sb="2" eb="3">
      <t>ダケ</t>
    </rPh>
    <phoneticPr fontId="5"/>
  </si>
  <si>
    <t>スゴロクダケ</t>
    <phoneticPr fontId="5"/>
  </si>
  <si>
    <t>大町市・高山市</t>
    <rPh sb="0" eb="3">
      <t>オオマチシ</t>
    </rPh>
    <rPh sb="4" eb="7">
      <t>タカヤマシ</t>
    </rPh>
    <phoneticPr fontId="5"/>
  </si>
  <si>
    <t>三ツ岳</t>
    <rPh sb="0" eb="1">
      <t>サン</t>
    </rPh>
    <rPh sb="2" eb="3">
      <t>タケ</t>
    </rPh>
    <phoneticPr fontId="5"/>
  </si>
  <si>
    <t>ミツダケ</t>
    <phoneticPr fontId="5"/>
  </si>
  <si>
    <t>三俣蓮華岳</t>
    <rPh sb="0" eb="2">
      <t>ミツマタ</t>
    </rPh>
    <rPh sb="2" eb="4">
      <t>レンゲ</t>
    </rPh>
    <rPh sb="4" eb="5">
      <t>ダケ</t>
    </rPh>
    <phoneticPr fontId="5"/>
  </si>
  <si>
    <t>ミツマタレンゲダケ</t>
    <phoneticPr fontId="5"/>
  </si>
  <si>
    <t>大町市・富山市・高山市</t>
    <rPh sb="0" eb="3">
      <t>オオマチシ</t>
    </rPh>
    <rPh sb="4" eb="7">
      <t>トヤマシ</t>
    </rPh>
    <rPh sb="8" eb="10">
      <t>タカヤマ</t>
    </rPh>
    <rPh sb="10" eb="11">
      <t>シ</t>
    </rPh>
    <phoneticPr fontId="5"/>
  </si>
  <si>
    <t>針ノ木岳</t>
    <rPh sb="0" eb="1">
      <t>ハリ</t>
    </rPh>
    <rPh sb="2" eb="3">
      <t>キ</t>
    </rPh>
    <rPh sb="3" eb="4">
      <t>ダケ</t>
    </rPh>
    <phoneticPr fontId="5"/>
  </si>
  <si>
    <t>ハリノキダケ</t>
    <phoneticPr fontId="5"/>
  </si>
  <si>
    <t>大町市・立山町</t>
    <rPh sb="0" eb="3">
      <t>オオマチシ</t>
    </rPh>
    <rPh sb="4" eb="7">
      <t>タテヤママチ</t>
    </rPh>
    <phoneticPr fontId="5"/>
  </si>
  <si>
    <t>五龍岳</t>
    <rPh sb="0" eb="1">
      <t>ゴ</t>
    </rPh>
    <rPh sb="1" eb="2">
      <t>リュウ</t>
    </rPh>
    <rPh sb="2" eb="3">
      <t>ダケ</t>
    </rPh>
    <phoneticPr fontId="5"/>
  </si>
  <si>
    <t>ゴリュウダケ</t>
    <phoneticPr fontId="5"/>
  </si>
  <si>
    <t>黒部市　※２</t>
    <rPh sb="0" eb="2">
      <t>クロベ</t>
    </rPh>
    <rPh sb="2" eb="3">
      <t>シ</t>
    </rPh>
    <phoneticPr fontId="5"/>
  </si>
  <si>
    <t>蓮華岳</t>
    <rPh sb="0" eb="2">
      <t>レンゲ</t>
    </rPh>
    <rPh sb="2" eb="3">
      <t>ダケ</t>
    </rPh>
    <phoneticPr fontId="5"/>
  </si>
  <si>
    <t>レンゲダケ</t>
    <phoneticPr fontId="5"/>
  </si>
  <si>
    <t>赤岩岳</t>
    <rPh sb="0" eb="1">
      <t>アカ</t>
    </rPh>
    <rPh sb="1" eb="2">
      <t>イワ</t>
    </rPh>
    <rPh sb="2" eb="3">
      <t>タケ</t>
    </rPh>
    <phoneticPr fontId="5"/>
  </si>
  <si>
    <t>アカイワダケ</t>
    <phoneticPr fontId="5"/>
  </si>
  <si>
    <t>大町市・松本市</t>
    <rPh sb="0" eb="3">
      <t>オオマチシ</t>
    </rPh>
    <rPh sb="4" eb="7">
      <t>マツモトシ</t>
    </rPh>
    <phoneticPr fontId="5"/>
  </si>
  <si>
    <t>燕岳</t>
    <rPh sb="0" eb="2">
      <t>ツバクロダケ</t>
    </rPh>
    <phoneticPr fontId="5"/>
  </si>
  <si>
    <t>ツバクロダケ</t>
    <phoneticPr fontId="5"/>
  </si>
  <si>
    <t>大町市・安曇野市</t>
    <rPh sb="0" eb="3">
      <t>オオマチシ</t>
    </rPh>
    <rPh sb="4" eb="7">
      <t>アズミノ</t>
    </rPh>
    <rPh sb="7" eb="8">
      <t>シ</t>
    </rPh>
    <phoneticPr fontId="5"/>
  </si>
  <si>
    <t>西岳</t>
    <rPh sb="0" eb="1">
      <t>ニシ</t>
    </rPh>
    <rPh sb="1" eb="2">
      <t>タケ</t>
    </rPh>
    <phoneticPr fontId="5"/>
  </si>
  <si>
    <t>ニシダケ</t>
    <phoneticPr fontId="5"/>
  </si>
  <si>
    <t>樅沢岳</t>
    <rPh sb="0" eb="1">
      <t>モミ</t>
    </rPh>
    <rPh sb="1" eb="2">
      <t>サワ</t>
    </rPh>
    <rPh sb="2" eb="3">
      <t>タケ</t>
    </rPh>
    <phoneticPr fontId="5"/>
  </si>
  <si>
    <t>モミサワダケ</t>
    <phoneticPr fontId="5"/>
  </si>
  <si>
    <t>大町市・高山市</t>
    <rPh sb="0" eb="3">
      <t>オオマチシ</t>
    </rPh>
    <phoneticPr fontId="5"/>
  </si>
  <si>
    <t>スバリ岳</t>
    <rPh sb="3" eb="4">
      <t>タケ</t>
    </rPh>
    <phoneticPr fontId="5"/>
  </si>
  <si>
    <t>スバリダケ</t>
    <phoneticPr fontId="5"/>
  </si>
  <si>
    <t>南真砂岳</t>
    <rPh sb="0" eb="1">
      <t>ミナミ</t>
    </rPh>
    <rPh sb="1" eb="3">
      <t>マサゴ</t>
    </rPh>
    <rPh sb="3" eb="4">
      <t>タケ</t>
    </rPh>
    <phoneticPr fontId="5"/>
  </si>
  <si>
    <t>ミナミマサゴダケ</t>
    <phoneticPr fontId="5"/>
  </si>
  <si>
    <t>布引山</t>
    <rPh sb="0" eb="2">
      <t>ヌノビキ</t>
    </rPh>
    <rPh sb="2" eb="3">
      <t>ヤマ</t>
    </rPh>
    <phoneticPr fontId="5"/>
  </si>
  <si>
    <t>ヌノビキヤマ</t>
    <phoneticPr fontId="5"/>
  </si>
  <si>
    <t>赤沢岳</t>
    <rPh sb="0" eb="2">
      <t>アカサワ</t>
    </rPh>
    <rPh sb="2" eb="3">
      <t>タケ</t>
    </rPh>
    <phoneticPr fontId="5"/>
  </si>
  <si>
    <t>アカザワダケ</t>
    <phoneticPr fontId="5"/>
  </si>
  <si>
    <t>爺ヶ岳</t>
    <rPh sb="0" eb="1">
      <t>ジイ</t>
    </rPh>
    <rPh sb="2" eb="3">
      <t>タケ</t>
    </rPh>
    <phoneticPr fontId="5"/>
  </si>
  <si>
    <t>ジイガタケ</t>
    <phoneticPr fontId="5"/>
  </si>
  <si>
    <t>餓鬼岳</t>
    <rPh sb="0" eb="2">
      <t>ガキ</t>
    </rPh>
    <rPh sb="2" eb="3">
      <t>タケ</t>
    </rPh>
    <phoneticPr fontId="5"/>
  </si>
  <si>
    <t>ガキダケ</t>
    <phoneticPr fontId="5"/>
  </si>
  <si>
    <t>鳴沢岳</t>
    <rPh sb="0" eb="1">
      <t>ナ</t>
    </rPh>
    <rPh sb="1" eb="2">
      <t>サワ</t>
    </rPh>
    <rPh sb="2" eb="3">
      <t>ダケ</t>
    </rPh>
    <phoneticPr fontId="5"/>
  </si>
  <si>
    <t>ナルサワダケ</t>
    <phoneticPr fontId="5"/>
  </si>
  <si>
    <t>唐沢岳</t>
    <rPh sb="0" eb="2">
      <t>カラサワ</t>
    </rPh>
    <rPh sb="2" eb="3">
      <t>タケ</t>
    </rPh>
    <phoneticPr fontId="5"/>
  </si>
  <si>
    <t>カラサワダケ</t>
    <phoneticPr fontId="5"/>
  </si>
  <si>
    <t>岩小屋沢岳</t>
    <rPh sb="0" eb="1">
      <t>イワ</t>
    </rPh>
    <rPh sb="1" eb="3">
      <t>ゴヤ</t>
    </rPh>
    <rPh sb="3" eb="4">
      <t>サワ</t>
    </rPh>
    <rPh sb="4" eb="5">
      <t>ダケ</t>
    </rPh>
    <phoneticPr fontId="5"/>
  </si>
  <si>
    <t>イワゴヤザワダケ</t>
    <phoneticPr fontId="5"/>
  </si>
  <si>
    <t>烏帽子岳</t>
    <rPh sb="0" eb="3">
      <t>エボシ</t>
    </rPh>
    <rPh sb="3" eb="4">
      <t>ダケ</t>
    </rPh>
    <phoneticPr fontId="5"/>
  </si>
  <si>
    <t>エボシダケ</t>
    <phoneticPr fontId="5"/>
  </si>
  <si>
    <t>大町市・富山市</t>
    <rPh sb="0" eb="3">
      <t>オオマチシ</t>
    </rPh>
    <phoneticPr fontId="5"/>
  </si>
  <si>
    <t>南沢岳</t>
    <rPh sb="0" eb="2">
      <t>ミナミサワ</t>
    </rPh>
    <rPh sb="2" eb="3">
      <t>ダケ</t>
    </rPh>
    <phoneticPr fontId="5"/>
  </si>
  <si>
    <t>ミナミサワダケ</t>
    <phoneticPr fontId="5"/>
  </si>
  <si>
    <t>不動岳</t>
    <rPh sb="0" eb="2">
      <t>フドウ</t>
    </rPh>
    <rPh sb="2" eb="3">
      <t>タケ</t>
    </rPh>
    <phoneticPr fontId="5"/>
  </si>
  <si>
    <t>フドウダケ</t>
    <phoneticPr fontId="5"/>
  </si>
  <si>
    <t>硫黄岳</t>
    <rPh sb="0" eb="2">
      <t>イオウ</t>
    </rPh>
    <rPh sb="2" eb="3">
      <t>タケ</t>
    </rPh>
    <phoneticPr fontId="5"/>
  </si>
  <si>
    <t>イオウダケ</t>
    <phoneticPr fontId="5"/>
  </si>
  <si>
    <t>牛首山</t>
    <rPh sb="0" eb="1">
      <t>ウシ</t>
    </rPh>
    <rPh sb="1" eb="2">
      <t>クビ</t>
    </rPh>
    <rPh sb="2" eb="3">
      <t>ヤマ</t>
    </rPh>
    <phoneticPr fontId="5"/>
  </si>
  <si>
    <t>ウシクビヤマ</t>
    <phoneticPr fontId="5"/>
  </si>
  <si>
    <t>北葛岳</t>
    <rPh sb="0" eb="1">
      <t>キタ</t>
    </rPh>
    <rPh sb="1" eb="2">
      <t>クズ</t>
    </rPh>
    <rPh sb="2" eb="3">
      <t>タケ</t>
    </rPh>
    <phoneticPr fontId="5"/>
  </si>
  <si>
    <t>キタクズダケ</t>
    <phoneticPr fontId="5"/>
  </si>
  <si>
    <t>白岳</t>
    <rPh sb="0" eb="1">
      <t>シロ</t>
    </rPh>
    <rPh sb="1" eb="2">
      <t>タケ</t>
    </rPh>
    <phoneticPr fontId="5"/>
  </si>
  <si>
    <t>シラタケ</t>
    <phoneticPr fontId="5"/>
  </si>
  <si>
    <t>七倉岳</t>
    <rPh sb="0" eb="1">
      <t>ナナ</t>
    </rPh>
    <rPh sb="1" eb="2">
      <t>クラ</t>
    </rPh>
    <rPh sb="2" eb="3">
      <t>タケ</t>
    </rPh>
    <phoneticPr fontId="5"/>
  </si>
  <si>
    <t>ナナクラダケ</t>
    <phoneticPr fontId="5"/>
  </si>
  <si>
    <r>
      <t>大町市・富山市　</t>
    </r>
    <r>
      <rPr>
        <sz val="8"/>
        <rFont val="ＭＳ ゴシック"/>
        <family val="3"/>
        <charset val="128"/>
      </rPr>
      <t>※１ 山群中最高峰の数値　</t>
    </r>
    <rPh sb="0" eb="3">
      <t>オオマチシ</t>
    </rPh>
    <phoneticPr fontId="5"/>
  </si>
  <si>
    <t>東沢岳</t>
    <rPh sb="0" eb="1">
      <t>ヒガシ</t>
    </rPh>
    <rPh sb="1" eb="2">
      <t>サワ</t>
    </rPh>
    <rPh sb="2" eb="3">
      <t>タケ</t>
    </rPh>
    <phoneticPr fontId="5"/>
  </si>
  <si>
    <t>ヒガシザワダケ</t>
    <phoneticPr fontId="5"/>
  </si>
  <si>
    <t>大町市　※１</t>
    <rPh sb="0" eb="3">
      <t>オオマチシ</t>
    </rPh>
    <phoneticPr fontId="5"/>
  </si>
  <si>
    <t>東餓鬼岳</t>
    <rPh sb="0" eb="1">
      <t>ヒガシ</t>
    </rPh>
    <rPh sb="1" eb="3">
      <t>ガキ</t>
    </rPh>
    <rPh sb="3" eb="4">
      <t>ダケ</t>
    </rPh>
    <phoneticPr fontId="5"/>
  </si>
  <si>
    <t>ヒガシガキダケ</t>
    <phoneticPr fontId="5"/>
  </si>
  <si>
    <t>大町市・安曇野市　※１</t>
    <rPh sb="0" eb="3">
      <t>オオマチシ</t>
    </rPh>
    <rPh sb="4" eb="7">
      <t>アズミノ</t>
    </rPh>
    <rPh sb="7" eb="8">
      <t>シ</t>
    </rPh>
    <phoneticPr fontId="5"/>
  </si>
  <si>
    <t>船窪岳</t>
    <rPh sb="0" eb="1">
      <t>フナ</t>
    </rPh>
    <rPh sb="1" eb="2">
      <t>クボ</t>
    </rPh>
    <rPh sb="2" eb="3">
      <t>ダケ</t>
    </rPh>
    <phoneticPr fontId="5"/>
  </si>
  <si>
    <t>フナクボダケ</t>
    <phoneticPr fontId="5"/>
  </si>
  <si>
    <r>
      <t>大町市・富山市　</t>
    </r>
    <r>
      <rPr>
        <sz val="8"/>
        <rFont val="ＭＳ ゴシック"/>
        <family val="3"/>
        <charset val="128"/>
      </rPr>
      <t>※１ 山群中最高峰の数値</t>
    </r>
    <r>
      <rPr>
        <sz val="9"/>
        <rFont val="ＭＳ ゴシック"/>
        <family val="3"/>
        <charset val="128"/>
      </rPr>
      <t>　</t>
    </r>
    <rPh sb="0" eb="3">
      <t>オオマチシ</t>
    </rPh>
    <rPh sb="11" eb="13">
      <t>サングン</t>
    </rPh>
    <rPh sb="13" eb="14">
      <t>ナカ</t>
    </rPh>
    <rPh sb="14" eb="17">
      <t>サイコウホウ</t>
    </rPh>
    <rPh sb="18" eb="20">
      <t>スウチ</t>
    </rPh>
    <phoneticPr fontId="5"/>
  </si>
  <si>
    <t>赤岳</t>
    <rPh sb="0" eb="1">
      <t>アカ</t>
    </rPh>
    <rPh sb="1" eb="2">
      <t>タケ</t>
    </rPh>
    <phoneticPr fontId="5"/>
  </si>
  <si>
    <t>アカダケ</t>
    <phoneticPr fontId="5"/>
  </si>
  <si>
    <t>※１･･････標高は国土地理院発行の５万分の１地形図記載の数値による。</t>
    <rPh sb="8" eb="10">
      <t>ヒョウコウ</t>
    </rPh>
    <rPh sb="11" eb="13">
      <t>コクド</t>
    </rPh>
    <rPh sb="13" eb="15">
      <t>チリ</t>
    </rPh>
    <rPh sb="15" eb="16">
      <t>イン</t>
    </rPh>
    <rPh sb="16" eb="18">
      <t>ハッコウ</t>
    </rPh>
    <rPh sb="20" eb="21">
      <t>マン</t>
    </rPh>
    <rPh sb="21" eb="22">
      <t>ブン</t>
    </rPh>
    <rPh sb="24" eb="27">
      <t>チケイズ</t>
    </rPh>
    <rPh sb="27" eb="29">
      <t>キサイ</t>
    </rPh>
    <rPh sb="30" eb="32">
      <t>スウチ</t>
    </rPh>
    <phoneticPr fontId="5"/>
  </si>
  <si>
    <t>※２･･････三角点は黒部市側にあるが山頂付近は大町市と隣接する。</t>
    <rPh sb="12" eb="15">
      <t>クロベシ</t>
    </rPh>
    <phoneticPr fontId="5"/>
  </si>
  <si>
    <t>　資料作成：市立大町山岳博物館</t>
    <rPh sb="1" eb="3">
      <t>シリョウ</t>
    </rPh>
    <rPh sb="3" eb="4">
      <t>サク</t>
    </rPh>
    <rPh sb="4" eb="5">
      <t>シゲル</t>
    </rPh>
    <rPh sb="6" eb="8">
      <t>シリツ</t>
    </rPh>
    <rPh sb="8" eb="10">
      <t>オオマチ</t>
    </rPh>
    <rPh sb="10" eb="12">
      <t>サンガク</t>
    </rPh>
    <rPh sb="12" eb="15">
      <t>ハクブツカン</t>
    </rPh>
    <phoneticPr fontId="5"/>
  </si>
  <si>
    <t>大町市・富山市　※１</t>
    <rPh sb="0" eb="3">
      <t>オオマチシ</t>
    </rPh>
    <rPh sb="4" eb="7">
      <t>トヤマシ</t>
    </rPh>
    <phoneticPr fontId="5"/>
  </si>
  <si>
    <t>大町市・立山町　※１</t>
    <rPh sb="0" eb="3">
      <t>オオマチシ</t>
    </rPh>
    <rPh sb="4" eb="7">
      <t>タテヤママチ</t>
    </rPh>
    <phoneticPr fontId="5"/>
  </si>
  <si>
    <t>大町市・白馬村・黒部市　※１</t>
    <rPh sb="0" eb="3">
      <t>オオマチシ</t>
    </rPh>
    <rPh sb="4" eb="6">
      <t>ハクバ</t>
    </rPh>
    <rPh sb="6" eb="7">
      <t>ムラ</t>
    </rPh>
    <rPh sb="8" eb="11">
      <t>クロベシ</t>
    </rPh>
    <phoneticPr fontId="5"/>
  </si>
  <si>
    <t>なお、注記以外の標高はすべて『日本の山岳標高一覧 ―1003山―』（国土地理院、2023）の数値による。</t>
    <rPh sb="3" eb="5">
      <t>チュウキ</t>
    </rPh>
    <rPh sb="5" eb="7">
      <t>イガイ</t>
    </rPh>
    <rPh sb="8" eb="10">
      <t>ヒョウコウ</t>
    </rPh>
    <rPh sb="46" eb="48">
      <t>スウチ</t>
    </rPh>
    <phoneticPr fontId="5"/>
  </si>
  <si>
    <t>大町市行政組織機構図</t>
    <rPh sb="0" eb="3">
      <t>オオマチシ</t>
    </rPh>
    <rPh sb="3" eb="5">
      <t>ギョウセイ</t>
    </rPh>
    <rPh sb="5" eb="7">
      <t>ソシキ</t>
    </rPh>
    <rPh sb="7" eb="9">
      <t>キコウ</t>
    </rPh>
    <rPh sb="9" eb="10">
      <t>ズ</t>
    </rPh>
    <phoneticPr fontId="51"/>
  </si>
  <si>
    <t>令和７年４月１日</t>
    <phoneticPr fontId="51"/>
  </si>
  <si>
    <t>市　長</t>
    <rPh sb="0" eb="1">
      <t>シ</t>
    </rPh>
    <rPh sb="2" eb="3">
      <t>チョウ</t>
    </rPh>
    <phoneticPr fontId="51"/>
  </si>
  <si>
    <t>副市長</t>
    <rPh sb="0" eb="1">
      <t>フク</t>
    </rPh>
    <rPh sb="1" eb="3">
      <t>シチョウ</t>
    </rPh>
    <phoneticPr fontId="51"/>
  </si>
  <si>
    <t>総 務 部</t>
    <rPh sb="0" eb="1">
      <t>ソウ</t>
    </rPh>
    <rPh sb="2" eb="3">
      <t>ツトム</t>
    </rPh>
    <rPh sb="4" eb="5">
      <t>ブ</t>
    </rPh>
    <phoneticPr fontId="51"/>
  </si>
  <si>
    <t>庶 務 課</t>
    <rPh sb="0" eb="1">
      <t>チカシ</t>
    </rPh>
    <rPh sb="2" eb="3">
      <t>ツトム</t>
    </rPh>
    <rPh sb="4" eb="5">
      <t>カ</t>
    </rPh>
    <phoneticPr fontId="51"/>
  </si>
  <si>
    <t>企画財政課</t>
    <rPh sb="0" eb="2">
      <t>キカク</t>
    </rPh>
    <rPh sb="2" eb="4">
      <t>ザイセイ</t>
    </rPh>
    <rPh sb="4" eb="5">
      <t>カ</t>
    </rPh>
    <phoneticPr fontId="51"/>
  </si>
  <si>
    <t>企画調整係　　財政係　　契約検査係　　財産管理係</t>
    <rPh sb="0" eb="2">
      <t>キカク</t>
    </rPh>
    <rPh sb="2" eb="4">
      <t>チョウセイ</t>
    </rPh>
    <rPh sb="4" eb="5">
      <t>カカ</t>
    </rPh>
    <rPh sb="7" eb="9">
      <t>ザイセイ</t>
    </rPh>
    <rPh sb="9" eb="10">
      <t>カカ</t>
    </rPh>
    <rPh sb="12" eb="14">
      <t>ケイヤク</t>
    </rPh>
    <rPh sb="14" eb="16">
      <t>ケンサ</t>
    </rPh>
    <rPh sb="16" eb="17">
      <t>カカリ</t>
    </rPh>
    <rPh sb="19" eb="21">
      <t>ザイサン</t>
    </rPh>
    <rPh sb="21" eb="23">
      <t>カンリ</t>
    </rPh>
    <rPh sb="23" eb="24">
      <t>カカリ</t>
    </rPh>
    <phoneticPr fontId="51"/>
  </si>
  <si>
    <t>税 務 課</t>
    <rPh sb="0" eb="1">
      <t>ゼイ</t>
    </rPh>
    <rPh sb="2" eb="3">
      <t>ツトム</t>
    </rPh>
    <rPh sb="4" eb="5">
      <t>カ</t>
    </rPh>
    <phoneticPr fontId="51"/>
  </si>
  <si>
    <t>税務係　　資産税係　　管理収納係</t>
    <rPh sb="0" eb="2">
      <t>ゼイム</t>
    </rPh>
    <rPh sb="2" eb="3">
      <t>カカ</t>
    </rPh>
    <rPh sb="5" eb="8">
      <t>シサンゼイ</t>
    </rPh>
    <rPh sb="8" eb="9">
      <t>カカ</t>
    </rPh>
    <rPh sb="11" eb="13">
      <t>カンリ</t>
    </rPh>
    <rPh sb="13" eb="15">
      <t>シュウノウ</t>
    </rPh>
    <rPh sb="15" eb="16">
      <t>カカ</t>
    </rPh>
    <phoneticPr fontId="51"/>
  </si>
  <si>
    <t>危機管理課</t>
    <rPh sb="0" eb="2">
      <t>キキ</t>
    </rPh>
    <rPh sb="2" eb="4">
      <t>カンリ</t>
    </rPh>
    <rPh sb="4" eb="5">
      <t>カ</t>
    </rPh>
    <phoneticPr fontId="51"/>
  </si>
  <si>
    <t>危機管理係</t>
    <rPh sb="0" eb="2">
      <t>キキ</t>
    </rPh>
    <rPh sb="2" eb="4">
      <t>カンリ</t>
    </rPh>
    <rPh sb="4" eb="5">
      <t>ガカリ</t>
    </rPh>
    <phoneticPr fontId="51"/>
  </si>
  <si>
    <t>情報交通課</t>
    <rPh sb="0" eb="2">
      <t>ジョウホウ</t>
    </rPh>
    <rPh sb="2" eb="5">
      <t>コウツウカ</t>
    </rPh>
    <phoneticPr fontId="51"/>
  </si>
  <si>
    <t>八坂支所</t>
    <rPh sb="0" eb="2">
      <t>ヤサカ</t>
    </rPh>
    <rPh sb="2" eb="4">
      <t>シショ</t>
    </rPh>
    <phoneticPr fontId="51"/>
  </si>
  <si>
    <t>総務係　　民生係　　産業建設係 　 (八坂ふるさと体験館、交流促進センター明日香荘、ふれあいセンターさざなみ、
鷹狩山展望施設)</t>
    <rPh sb="0" eb="2">
      <t>ソウム</t>
    </rPh>
    <rPh sb="2" eb="3">
      <t>カカリ</t>
    </rPh>
    <rPh sb="5" eb="7">
      <t>ミンセイ</t>
    </rPh>
    <rPh sb="7" eb="8">
      <t>ガカリ</t>
    </rPh>
    <rPh sb="19" eb="21">
      <t>ヤサカ</t>
    </rPh>
    <phoneticPr fontId="51"/>
  </si>
  <si>
    <t>美麻支所</t>
    <rPh sb="0" eb="2">
      <t>ミアサ</t>
    </rPh>
    <rPh sb="2" eb="4">
      <t>シショ</t>
    </rPh>
    <phoneticPr fontId="51"/>
  </si>
  <si>
    <t>民 生 部</t>
    <rPh sb="0" eb="1">
      <t>ミン</t>
    </rPh>
    <rPh sb="2" eb="3">
      <t>セイ</t>
    </rPh>
    <rPh sb="4" eb="5">
      <t>ブ</t>
    </rPh>
    <phoneticPr fontId="51"/>
  </si>
  <si>
    <t>市 民 課</t>
    <rPh sb="0" eb="1">
      <t>シ</t>
    </rPh>
    <rPh sb="2" eb="3">
      <t>ミン</t>
    </rPh>
    <rPh sb="4" eb="5">
      <t>カ</t>
    </rPh>
    <phoneticPr fontId="51"/>
  </si>
  <si>
    <t>生活環境課</t>
    <rPh sb="0" eb="2">
      <t>セイカツ</t>
    </rPh>
    <rPh sb="2" eb="4">
      <t>カンキョウ</t>
    </rPh>
    <rPh sb="4" eb="5">
      <t>カ</t>
    </rPh>
    <phoneticPr fontId="51"/>
  </si>
  <si>
    <t>環境衛生係　　環境保全係　　（クリーンプラント、グリーンパーク、堆肥センター）</t>
    <rPh sb="0" eb="2">
      <t>カンキョウ</t>
    </rPh>
    <rPh sb="2" eb="4">
      <t>エイセイ</t>
    </rPh>
    <rPh sb="4" eb="5">
      <t>カカ</t>
    </rPh>
    <rPh sb="7" eb="9">
      <t>カンキョウ</t>
    </rPh>
    <rPh sb="9" eb="11">
      <t>ホゼン</t>
    </rPh>
    <rPh sb="11" eb="12">
      <t>カカ</t>
    </rPh>
    <rPh sb="32" eb="34">
      <t>タイヒ</t>
    </rPh>
    <phoneticPr fontId="51"/>
  </si>
  <si>
    <t>福 祉 課</t>
    <rPh sb="0" eb="1">
      <t>フク</t>
    </rPh>
    <rPh sb="2" eb="3">
      <t>シ</t>
    </rPh>
    <rPh sb="4" eb="5">
      <t>カ</t>
    </rPh>
    <phoneticPr fontId="51"/>
  </si>
  <si>
    <t>子育て支援課</t>
    <rPh sb="0" eb="2">
      <t>コソダ</t>
    </rPh>
    <rPh sb="3" eb="5">
      <t>シエン</t>
    </rPh>
    <rPh sb="5" eb="6">
      <t>カ</t>
    </rPh>
    <phoneticPr fontId="51"/>
  </si>
  <si>
    <t>子育て支援係　　児童係　　（はなのき保育園、あすなろ保育園、しらかば保育園、くるみ保育園、どんぐり保育園、
たけのこ保育園、みあさ保育園、児童センター、母子通園訓練所）　　</t>
    <rPh sb="0" eb="2">
      <t>コソダ</t>
    </rPh>
    <rPh sb="3" eb="5">
      <t>シエン</t>
    </rPh>
    <rPh sb="5" eb="6">
      <t>カカリ</t>
    </rPh>
    <rPh sb="8" eb="10">
      <t>ジドウ</t>
    </rPh>
    <rPh sb="10" eb="11">
      <t>カカ</t>
    </rPh>
    <rPh sb="41" eb="44">
      <t>ホイクエン</t>
    </rPh>
    <rPh sb="58" eb="61">
      <t>ホイクエン</t>
    </rPh>
    <rPh sb="65" eb="68">
      <t>ホイクエン</t>
    </rPh>
    <rPh sb="76" eb="78">
      <t>ボシ</t>
    </rPh>
    <rPh sb="78" eb="80">
      <t>ツウエン</t>
    </rPh>
    <rPh sb="80" eb="82">
      <t>クンレン</t>
    </rPh>
    <rPh sb="82" eb="83">
      <t>ジョ</t>
    </rPh>
    <phoneticPr fontId="51"/>
  </si>
  <si>
    <t>地域振興部</t>
    <rPh sb="0" eb="2">
      <t>チイキ</t>
    </rPh>
    <rPh sb="2" eb="4">
      <t>シンコウ</t>
    </rPh>
    <rPh sb="4" eb="5">
      <t>ブ</t>
    </rPh>
    <phoneticPr fontId="51"/>
  </si>
  <si>
    <t>まちづくり産業課</t>
    <rPh sb="5" eb="7">
      <t>サンギョウ</t>
    </rPh>
    <rPh sb="7" eb="8">
      <t>カ</t>
    </rPh>
    <phoneticPr fontId="51"/>
  </si>
  <si>
    <t>観 光 文 化 課</t>
    <rPh sb="0" eb="1">
      <t>ミ</t>
    </rPh>
    <rPh sb="2" eb="3">
      <t>ヒカリ</t>
    </rPh>
    <rPh sb="4" eb="5">
      <t>ブン</t>
    </rPh>
    <rPh sb="6" eb="7">
      <t>カ</t>
    </rPh>
    <rPh sb="8" eb="9">
      <t>カ</t>
    </rPh>
    <phoneticPr fontId="51"/>
  </si>
  <si>
    <t>農林水産課</t>
    <rPh sb="0" eb="2">
      <t>ノウリン</t>
    </rPh>
    <rPh sb="2" eb="4">
      <t>スイサン</t>
    </rPh>
    <rPh sb="4" eb="5">
      <t>カ</t>
    </rPh>
    <phoneticPr fontId="51"/>
  </si>
  <si>
    <t>産業立地戦略室</t>
    <rPh sb="0" eb="2">
      <t>サンギョウ</t>
    </rPh>
    <rPh sb="2" eb="4">
      <t>リッチ</t>
    </rPh>
    <rPh sb="4" eb="6">
      <t>センリャク</t>
    </rPh>
    <rPh sb="6" eb="7">
      <t>シツ</t>
    </rPh>
    <phoneticPr fontId="51"/>
  </si>
  <si>
    <t>建設水道部</t>
    <rPh sb="0" eb="2">
      <t>ケンセツ</t>
    </rPh>
    <rPh sb="2" eb="4">
      <t>スイドウ</t>
    </rPh>
    <rPh sb="4" eb="5">
      <t>ブ</t>
    </rPh>
    <phoneticPr fontId="51"/>
  </si>
  <si>
    <t>建 設 課</t>
    <rPh sb="0" eb="1">
      <t>ケン</t>
    </rPh>
    <rPh sb="2" eb="3">
      <t>セツ</t>
    </rPh>
    <rPh sb="4" eb="5">
      <t>カ</t>
    </rPh>
    <phoneticPr fontId="51"/>
  </si>
  <si>
    <t>上下水道課</t>
    <rPh sb="0" eb="1">
      <t>ウエ</t>
    </rPh>
    <rPh sb="1" eb="2">
      <t>シタ</t>
    </rPh>
    <rPh sb="2" eb="4">
      <t>スイドウ</t>
    </rPh>
    <rPh sb="4" eb="5">
      <t>カ</t>
    </rPh>
    <phoneticPr fontId="51"/>
  </si>
  <si>
    <t>企画係　　経理係　　業務係　　施設係</t>
    <phoneticPr fontId="51"/>
  </si>
  <si>
    <t>会計管理者</t>
    <rPh sb="0" eb="2">
      <t>カイケイ</t>
    </rPh>
    <rPh sb="2" eb="5">
      <t>カンリシャ</t>
    </rPh>
    <phoneticPr fontId="51"/>
  </si>
  <si>
    <t>会 計 課</t>
    <rPh sb="0" eb="1">
      <t>カイ</t>
    </rPh>
    <rPh sb="2" eb="3">
      <t>ケイ</t>
    </rPh>
    <rPh sb="4" eb="5">
      <t>カ</t>
    </rPh>
    <phoneticPr fontId="51"/>
  </si>
  <si>
    <t>会計係</t>
    <rPh sb="0" eb="2">
      <t>カイケイ</t>
    </rPh>
    <rPh sb="2" eb="3">
      <t>カカ</t>
    </rPh>
    <phoneticPr fontId="51"/>
  </si>
  <si>
    <t>教育委員会</t>
    <rPh sb="0" eb="2">
      <t>キョウイク</t>
    </rPh>
    <rPh sb="2" eb="5">
      <t>イインカイ</t>
    </rPh>
    <phoneticPr fontId="51"/>
  </si>
  <si>
    <t>教育長</t>
    <phoneticPr fontId="51"/>
  </si>
  <si>
    <t>教育次長</t>
    <rPh sb="0" eb="2">
      <t>キョウイク</t>
    </rPh>
    <rPh sb="2" eb="4">
      <t>ジチョウ</t>
    </rPh>
    <phoneticPr fontId="51"/>
  </si>
  <si>
    <t>学校教育課</t>
    <rPh sb="0" eb="2">
      <t>ガッコウ</t>
    </rPh>
    <rPh sb="2" eb="4">
      <t>キョウイク</t>
    </rPh>
    <rPh sb="4" eb="5">
      <t>カ</t>
    </rPh>
    <phoneticPr fontId="51"/>
  </si>
  <si>
    <t>生涯学習課</t>
    <rPh sb="0" eb="2">
      <t>ショウガイ</t>
    </rPh>
    <rPh sb="2" eb="4">
      <t>ガクシュウ</t>
    </rPh>
    <rPh sb="4" eb="5">
      <t>カ</t>
    </rPh>
    <phoneticPr fontId="51"/>
  </si>
  <si>
    <t>生涯学習・青少年係　　人権教育担当　　文化財係　　（大町公民館、大町公民館分室、平公民館、常盤公民館、
社公民館、八坂公民館、美麻公民館、文化会館、図書館、文化財センター、民俗資料館、青少年センター、
女性未来館ピュア、勤労者福祉施設、蔵の音楽館、旧中村家住宅、八坂情報コミュニティセンターアキツ）</t>
    <rPh sb="0" eb="2">
      <t>ショウガイ</t>
    </rPh>
    <rPh sb="2" eb="4">
      <t>ガクシュウ</t>
    </rPh>
    <rPh sb="5" eb="8">
      <t>セイショウネン</t>
    </rPh>
    <rPh sb="8" eb="9">
      <t>カカリ</t>
    </rPh>
    <rPh sb="19" eb="22">
      <t>ブンカザイ</t>
    </rPh>
    <rPh sb="22" eb="23">
      <t>カカリ</t>
    </rPh>
    <rPh sb="57" eb="59">
      <t>ヤサカ</t>
    </rPh>
    <rPh sb="59" eb="62">
      <t>コウミンカン</t>
    </rPh>
    <rPh sb="63" eb="65">
      <t>ミアサ</t>
    </rPh>
    <rPh sb="65" eb="68">
      <t>コウミンカン</t>
    </rPh>
    <rPh sb="74" eb="77">
      <t>トショカン</t>
    </rPh>
    <rPh sb="78" eb="81">
      <t>ブンカザイ</t>
    </rPh>
    <rPh sb="92" eb="95">
      <t>セイショウネン</t>
    </rPh>
    <rPh sb="101" eb="103">
      <t>ジョセイ</t>
    </rPh>
    <rPh sb="103" eb="105">
      <t>ミライ</t>
    </rPh>
    <rPh sb="105" eb="106">
      <t>カン</t>
    </rPh>
    <rPh sb="110" eb="113">
      <t>キンロウシャ</t>
    </rPh>
    <rPh sb="113" eb="115">
      <t>フクシ</t>
    </rPh>
    <rPh sb="115" eb="117">
      <t>シセツ</t>
    </rPh>
    <rPh sb="118" eb="119">
      <t>クラ</t>
    </rPh>
    <rPh sb="120" eb="122">
      <t>オンガク</t>
    </rPh>
    <rPh sb="122" eb="123">
      <t>ヤカタ</t>
    </rPh>
    <phoneticPr fontId="51"/>
  </si>
  <si>
    <t>スポーツ課</t>
    <rPh sb="4" eb="5">
      <t>カ</t>
    </rPh>
    <phoneticPr fontId="51"/>
  </si>
  <si>
    <t>スポーツ推進係</t>
    <rPh sb="4" eb="6">
      <t>スイシン</t>
    </rPh>
    <rPh sb="6" eb="7">
      <t>カカリ</t>
    </rPh>
    <phoneticPr fontId="51"/>
  </si>
  <si>
    <t>国民スポーツ大会準備室</t>
    <rPh sb="0" eb="2">
      <t>コクミン</t>
    </rPh>
    <rPh sb="6" eb="8">
      <t>タイカイ</t>
    </rPh>
    <rPh sb="8" eb="10">
      <t>ジュンビ</t>
    </rPh>
    <rPh sb="10" eb="11">
      <t>シツ</t>
    </rPh>
    <phoneticPr fontId="51"/>
  </si>
  <si>
    <t>山岳博物館</t>
    <rPh sb="0" eb="2">
      <t>サンガク</t>
    </rPh>
    <rPh sb="2" eb="5">
      <t>ハクブツカン</t>
    </rPh>
    <phoneticPr fontId="51"/>
  </si>
  <si>
    <t>市立大町総合病院事業管理者</t>
    <rPh sb="0" eb="2">
      <t>シリツ</t>
    </rPh>
    <rPh sb="2" eb="4">
      <t>オオマチ</t>
    </rPh>
    <rPh sb="4" eb="6">
      <t>ソウゴウ</t>
    </rPh>
    <rPh sb="6" eb="8">
      <t>ビョウイン</t>
    </rPh>
    <rPh sb="8" eb="10">
      <t>ジギョウ</t>
    </rPh>
    <rPh sb="10" eb="13">
      <t>カンリシャ</t>
    </rPh>
    <phoneticPr fontId="51"/>
  </si>
  <si>
    <t>院　長</t>
    <rPh sb="0" eb="1">
      <t>イン</t>
    </rPh>
    <rPh sb="2" eb="3">
      <t>チョウ</t>
    </rPh>
    <phoneticPr fontId="51"/>
  </si>
  <si>
    <t>副 院 長</t>
    <rPh sb="0" eb="1">
      <t>フク</t>
    </rPh>
    <rPh sb="2" eb="3">
      <t>イン</t>
    </rPh>
    <rPh sb="4" eb="5">
      <t>ナガ</t>
    </rPh>
    <phoneticPr fontId="51"/>
  </si>
  <si>
    <t>診 療 部</t>
    <rPh sb="0" eb="1">
      <t>ミ</t>
    </rPh>
    <rPh sb="2" eb="3">
      <t>イヤス</t>
    </rPh>
    <rPh sb="4" eb="5">
      <t>ブ</t>
    </rPh>
    <phoneticPr fontId="51"/>
  </si>
  <si>
    <t>院長補佐</t>
    <rPh sb="0" eb="2">
      <t>インチョウ</t>
    </rPh>
    <rPh sb="2" eb="4">
      <t>ホサ</t>
    </rPh>
    <phoneticPr fontId="51"/>
  </si>
  <si>
    <t>診療技術部</t>
    <rPh sb="0" eb="2">
      <t>シンリョウ</t>
    </rPh>
    <rPh sb="2" eb="4">
      <t>ギジュツ</t>
    </rPh>
    <rPh sb="4" eb="5">
      <t>ブ</t>
    </rPh>
    <phoneticPr fontId="51"/>
  </si>
  <si>
    <t>看 護 部</t>
    <rPh sb="0" eb="1">
      <t>ミ</t>
    </rPh>
    <rPh sb="2" eb="3">
      <t>マモル</t>
    </rPh>
    <rPh sb="4" eb="5">
      <t>ブ</t>
    </rPh>
    <phoneticPr fontId="51"/>
  </si>
  <si>
    <t>３階東病棟　　４階東病棟（感染症病床含む）　　５階東病棟　　５階西病棟　　手術室・中央材料室　　内視鏡室
人工透析室　　外来　　発達支援室</t>
    <rPh sb="1" eb="2">
      <t>カイ</t>
    </rPh>
    <rPh sb="2" eb="3">
      <t>ヒガシ</t>
    </rPh>
    <rPh sb="3" eb="5">
      <t>ビョウトウ</t>
    </rPh>
    <rPh sb="8" eb="9">
      <t>カイ</t>
    </rPh>
    <rPh sb="9" eb="10">
      <t>ヒガシ</t>
    </rPh>
    <rPh sb="10" eb="12">
      <t>ビョウトウ</t>
    </rPh>
    <rPh sb="13" eb="18">
      <t>カンセンショウビョウショウ</t>
    </rPh>
    <rPh sb="18" eb="19">
      <t>フク</t>
    </rPh>
    <rPh sb="24" eb="25">
      <t>カイ</t>
    </rPh>
    <rPh sb="25" eb="26">
      <t>ヒガシ</t>
    </rPh>
    <rPh sb="26" eb="28">
      <t>ビョウトウ</t>
    </rPh>
    <rPh sb="31" eb="32">
      <t>カイ</t>
    </rPh>
    <rPh sb="32" eb="33">
      <t>ニシ</t>
    </rPh>
    <rPh sb="33" eb="35">
      <t>ビョウトウ</t>
    </rPh>
    <rPh sb="37" eb="40">
      <t>シュジュツシツ</t>
    </rPh>
    <rPh sb="41" eb="43">
      <t>チュウオウ</t>
    </rPh>
    <rPh sb="43" eb="45">
      <t>ザイリョウ</t>
    </rPh>
    <rPh sb="45" eb="46">
      <t>シツ</t>
    </rPh>
    <rPh sb="53" eb="55">
      <t>ジンコウ</t>
    </rPh>
    <rPh sb="55" eb="57">
      <t>トウセキ</t>
    </rPh>
    <rPh sb="57" eb="58">
      <t>シツ</t>
    </rPh>
    <rPh sb="60" eb="62">
      <t>ガイライ</t>
    </rPh>
    <rPh sb="64" eb="66">
      <t>ハッタツ</t>
    </rPh>
    <rPh sb="66" eb="68">
      <t>シエン</t>
    </rPh>
    <rPh sb="68" eb="69">
      <t>シツ</t>
    </rPh>
    <phoneticPr fontId="51"/>
  </si>
  <si>
    <t>医療社会事業部</t>
    <rPh sb="0" eb="2">
      <t>イリョウ</t>
    </rPh>
    <rPh sb="2" eb="4">
      <t>シャカイ</t>
    </rPh>
    <rPh sb="4" eb="6">
      <t>ジギョウ</t>
    </rPh>
    <rPh sb="6" eb="7">
      <t>ブ</t>
    </rPh>
    <phoneticPr fontId="51"/>
  </si>
  <si>
    <t>地域医療福祉連携室　　居宅介護支援事業所　　訪問看護ステーション</t>
    <rPh sb="0" eb="2">
      <t>チイキ</t>
    </rPh>
    <rPh sb="2" eb="4">
      <t>イリョウ</t>
    </rPh>
    <rPh sb="4" eb="6">
      <t>フクシ</t>
    </rPh>
    <rPh sb="6" eb="8">
      <t>レンケイ</t>
    </rPh>
    <rPh sb="8" eb="9">
      <t>シツ</t>
    </rPh>
    <rPh sb="11" eb="13">
      <t>キョタク</t>
    </rPh>
    <rPh sb="13" eb="15">
      <t>カイゴ</t>
    </rPh>
    <rPh sb="15" eb="17">
      <t>シエン</t>
    </rPh>
    <rPh sb="17" eb="19">
      <t>ジギョウ</t>
    </rPh>
    <rPh sb="19" eb="20">
      <t>ショ</t>
    </rPh>
    <rPh sb="22" eb="24">
      <t>ホウモン</t>
    </rPh>
    <rPh sb="24" eb="26">
      <t>カンゴ</t>
    </rPh>
    <phoneticPr fontId="51"/>
  </si>
  <si>
    <t>医療情報部</t>
    <rPh sb="0" eb="2">
      <t>イリョウ</t>
    </rPh>
    <rPh sb="2" eb="4">
      <t>ジョウホウ</t>
    </rPh>
    <rPh sb="4" eb="5">
      <t>ブ</t>
    </rPh>
    <phoneticPr fontId="51"/>
  </si>
  <si>
    <t>診療情報管理室　　情報システム管理室</t>
    <rPh sb="0" eb="2">
      <t>シンリョウ</t>
    </rPh>
    <rPh sb="2" eb="4">
      <t>ジョウホウ</t>
    </rPh>
    <rPh sb="4" eb="6">
      <t>カンリ</t>
    </rPh>
    <rPh sb="6" eb="7">
      <t>シツ</t>
    </rPh>
    <rPh sb="9" eb="11">
      <t>ジョウホウ</t>
    </rPh>
    <rPh sb="15" eb="18">
      <t>カンリシツ</t>
    </rPh>
    <phoneticPr fontId="51"/>
  </si>
  <si>
    <t>健康管理部</t>
    <rPh sb="0" eb="2">
      <t>ケンコウ</t>
    </rPh>
    <rPh sb="2" eb="4">
      <t>カンリ</t>
    </rPh>
    <rPh sb="4" eb="5">
      <t>ブ</t>
    </rPh>
    <phoneticPr fontId="51"/>
  </si>
  <si>
    <t>健診センター</t>
    <rPh sb="0" eb="2">
      <t>ケンシン</t>
    </rPh>
    <phoneticPr fontId="51"/>
  </si>
  <si>
    <t>医療安全部</t>
    <rPh sb="0" eb="2">
      <t>イリョウ</t>
    </rPh>
    <rPh sb="2" eb="4">
      <t>アンゼン</t>
    </rPh>
    <rPh sb="4" eb="5">
      <t>ブ</t>
    </rPh>
    <phoneticPr fontId="51"/>
  </si>
  <si>
    <t>医療安全管理室</t>
    <rPh sb="0" eb="2">
      <t>イリョウ</t>
    </rPh>
    <rPh sb="2" eb="4">
      <t>アンゼン</t>
    </rPh>
    <rPh sb="4" eb="6">
      <t>カンリ</t>
    </rPh>
    <rPh sb="6" eb="7">
      <t>シツ</t>
    </rPh>
    <phoneticPr fontId="51"/>
  </si>
  <si>
    <t>感染対策部</t>
    <rPh sb="0" eb="2">
      <t>カンセン</t>
    </rPh>
    <rPh sb="2" eb="4">
      <t>タイサク</t>
    </rPh>
    <rPh sb="4" eb="5">
      <t>ブ</t>
    </rPh>
    <phoneticPr fontId="51"/>
  </si>
  <si>
    <t>感染対策管理室</t>
    <rPh sb="0" eb="2">
      <t>カンセン</t>
    </rPh>
    <rPh sb="2" eb="4">
      <t>タイサク</t>
    </rPh>
    <rPh sb="4" eb="7">
      <t>カンリシツ</t>
    </rPh>
    <phoneticPr fontId="51"/>
  </si>
  <si>
    <t>事 務 長</t>
    <rPh sb="0" eb="1">
      <t>コト</t>
    </rPh>
    <rPh sb="2" eb="3">
      <t>ツトム</t>
    </rPh>
    <rPh sb="4" eb="5">
      <t>チョウ</t>
    </rPh>
    <phoneticPr fontId="51"/>
  </si>
  <si>
    <t>総 務 課</t>
    <rPh sb="0" eb="1">
      <t>ソウ</t>
    </rPh>
    <rPh sb="2" eb="3">
      <t>ツトム</t>
    </rPh>
    <rPh sb="4" eb="5">
      <t>カ</t>
    </rPh>
    <phoneticPr fontId="51"/>
  </si>
  <si>
    <t>庶務係　　経営企画係　　人事係　　</t>
    <rPh sb="0" eb="2">
      <t>ショム</t>
    </rPh>
    <rPh sb="5" eb="7">
      <t>ケイエイ</t>
    </rPh>
    <rPh sb="7" eb="9">
      <t>キカク</t>
    </rPh>
    <rPh sb="9" eb="10">
      <t>カカリ</t>
    </rPh>
    <rPh sb="12" eb="14">
      <t>ジンジ</t>
    </rPh>
    <rPh sb="14" eb="15">
      <t>カカリ</t>
    </rPh>
    <phoneticPr fontId="51"/>
  </si>
  <si>
    <t>医 事 課</t>
    <rPh sb="0" eb="1">
      <t>イ</t>
    </rPh>
    <rPh sb="2" eb="3">
      <t>コト</t>
    </rPh>
    <rPh sb="4" eb="5">
      <t>カ</t>
    </rPh>
    <phoneticPr fontId="51"/>
  </si>
  <si>
    <t>医事請求係　　医事企画係</t>
    <rPh sb="0" eb="2">
      <t>イジ</t>
    </rPh>
    <rPh sb="2" eb="4">
      <t>セイキュウ</t>
    </rPh>
    <rPh sb="4" eb="5">
      <t>カカリ</t>
    </rPh>
    <rPh sb="7" eb="9">
      <t>イジ</t>
    </rPh>
    <rPh sb="9" eb="11">
      <t>キカク</t>
    </rPh>
    <rPh sb="11" eb="12">
      <t>カカリ</t>
    </rPh>
    <phoneticPr fontId="51"/>
  </si>
  <si>
    <t>市 議 会</t>
    <rPh sb="0" eb="1">
      <t>シ</t>
    </rPh>
    <rPh sb="2" eb="3">
      <t>ギ</t>
    </rPh>
    <rPh sb="4" eb="5">
      <t>カイ</t>
    </rPh>
    <phoneticPr fontId="51"/>
  </si>
  <si>
    <t>議会事務局</t>
    <rPh sb="0" eb="2">
      <t>ギカイ</t>
    </rPh>
    <rPh sb="2" eb="5">
      <t>ジムキョク</t>
    </rPh>
    <phoneticPr fontId="51"/>
  </si>
  <si>
    <t>庶務議事係</t>
    <rPh sb="0" eb="2">
      <t>ショム</t>
    </rPh>
    <rPh sb="2" eb="4">
      <t>ギジ</t>
    </rPh>
    <rPh sb="4" eb="5">
      <t>カカリ</t>
    </rPh>
    <phoneticPr fontId="51"/>
  </si>
  <si>
    <t>農業委員会</t>
    <rPh sb="0" eb="2">
      <t>ノウギョウ</t>
    </rPh>
    <rPh sb="2" eb="5">
      <t>イインカイ</t>
    </rPh>
    <phoneticPr fontId="51"/>
  </si>
  <si>
    <t>農業委員会事務局</t>
    <rPh sb="0" eb="2">
      <t>ノウギョウ</t>
    </rPh>
    <rPh sb="2" eb="5">
      <t>イインカイ</t>
    </rPh>
    <rPh sb="5" eb="8">
      <t>ジムキョク</t>
    </rPh>
    <phoneticPr fontId="51"/>
  </si>
  <si>
    <t>土地開発公社</t>
    <rPh sb="0" eb="2">
      <t>トチ</t>
    </rPh>
    <rPh sb="2" eb="4">
      <t>カイハツ</t>
    </rPh>
    <rPh sb="4" eb="6">
      <t>コウシャ</t>
    </rPh>
    <phoneticPr fontId="51"/>
  </si>
  <si>
    <t>土地開発公社事務局</t>
    <rPh sb="0" eb="2">
      <t>トチ</t>
    </rPh>
    <rPh sb="2" eb="4">
      <t>カイハツ</t>
    </rPh>
    <rPh sb="4" eb="6">
      <t>コウシャ</t>
    </rPh>
    <rPh sb="6" eb="9">
      <t>ジムキョク</t>
    </rPh>
    <phoneticPr fontId="51"/>
  </si>
  <si>
    <t>選挙管理委員会</t>
    <rPh sb="0" eb="2">
      <t>センキョ</t>
    </rPh>
    <rPh sb="2" eb="4">
      <t>カンリ</t>
    </rPh>
    <rPh sb="4" eb="7">
      <t>イインカイ</t>
    </rPh>
    <phoneticPr fontId="51"/>
  </si>
  <si>
    <t>選挙管理委員会事務局</t>
    <rPh sb="0" eb="2">
      <t>センキョ</t>
    </rPh>
    <rPh sb="2" eb="4">
      <t>カンリ</t>
    </rPh>
    <rPh sb="4" eb="7">
      <t>イインカイ</t>
    </rPh>
    <rPh sb="7" eb="10">
      <t>ジムキョク</t>
    </rPh>
    <phoneticPr fontId="51"/>
  </si>
  <si>
    <t>監査委員</t>
    <rPh sb="0" eb="2">
      <t>カンサ</t>
    </rPh>
    <rPh sb="2" eb="4">
      <t>イイン</t>
    </rPh>
    <phoneticPr fontId="51"/>
  </si>
  <si>
    <t>監査委員事務局</t>
    <rPh sb="0" eb="2">
      <t>カンサ</t>
    </rPh>
    <rPh sb="2" eb="4">
      <t>イイン</t>
    </rPh>
    <rPh sb="4" eb="7">
      <t>ジムキョク</t>
    </rPh>
    <phoneticPr fontId="51"/>
  </si>
  <si>
    <t>公平委員会</t>
    <rPh sb="0" eb="2">
      <t>コウヘイ</t>
    </rPh>
    <rPh sb="2" eb="5">
      <t>イインカイ</t>
    </rPh>
    <phoneticPr fontId="51"/>
  </si>
  <si>
    <t>公平委員会事務局</t>
    <rPh sb="0" eb="2">
      <t>コウヘイ</t>
    </rPh>
    <rPh sb="2" eb="5">
      <t>イインカイ</t>
    </rPh>
    <rPh sb="5" eb="8">
      <t>ジムキョク</t>
    </rPh>
    <phoneticPr fontId="51"/>
  </si>
  <si>
    <t>固定資産評価審査委員会</t>
    <rPh sb="0" eb="2">
      <t>コテイ</t>
    </rPh>
    <rPh sb="2" eb="4">
      <t>シサン</t>
    </rPh>
    <rPh sb="4" eb="6">
      <t>ヒョウカ</t>
    </rPh>
    <rPh sb="6" eb="8">
      <t>シンサ</t>
    </rPh>
    <rPh sb="8" eb="11">
      <t>イインカイ</t>
    </rPh>
    <phoneticPr fontId="51"/>
  </si>
  <si>
    <t>固定資産評価審査委員会事務局</t>
    <rPh sb="0" eb="2">
      <t>コテイ</t>
    </rPh>
    <rPh sb="2" eb="4">
      <t>シサン</t>
    </rPh>
    <rPh sb="4" eb="6">
      <t>ヒョウカ</t>
    </rPh>
    <rPh sb="6" eb="8">
      <t>シンサ</t>
    </rPh>
    <rPh sb="8" eb="11">
      <t>イインカイ</t>
    </rPh>
    <rPh sb="11" eb="14">
      <t>ジムキョク</t>
    </rPh>
    <phoneticPr fontId="51"/>
  </si>
  <si>
    <t>※（　　　）は附属施設、または、管理している施設</t>
    <phoneticPr fontId="51"/>
  </si>
  <si>
    <r>
      <t>秘書係　　</t>
    </r>
    <r>
      <rPr>
        <sz val="11"/>
        <color theme="1"/>
        <rFont val="ＭＳ Ｐ明朝"/>
        <family val="1"/>
        <charset val="128"/>
      </rPr>
      <t>行政管理・コンプライアンス推進係　　職員係　　市民活動支援係　　男女共同参画・人権政策係　　（市民活動サポートセンター）</t>
    </r>
    <rPh sb="0" eb="2">
      <t>ヒショ</t>
    </rPh>
    <rPh sb="2" eb="3">
      <t>カカ</t>
    </rPh>
    <rPh sb="23" eb="25">
      <t>ショクイン</t>
    </rPh>
    <rPh sb="25" eb="26">
      <t>カカ</t>
    </rPh>
    <phoneticPr fontId="51"/>
  </si>
  <si>
    <r>
      <rPr>
        <sz val="11"/>
        <color theme="1"/>
        <rFont val="ＭＳ Ｐ明朝"/>
        <family val="1"/>
        <charset val="128"/>
      </rPr>
      <t>ＤＸ推進係　　広聴広報係　　交通政策係　　（総合情報センター）</t>
    </r>
    <rPh sb="2" eb="4">
      <t>スイシン</t>
    </rPh>
    <rPh sb="4" eb="5">
      <t>カカリ</t>
    </rPh>
    <rPh sb="14" eb="16">
      <t>コウツウ</t>
    </rPh>
    <rPh sb="16" eb="18">
      <t>セイサク</t>
    </rPh>
    <rPh sb="18" eb="19">
      <t>カカリ</t>
    </rPh>
    <rPh sb="22" eb="24">
      <t>ソウゴウ</t>
    </rPh>
    <rPh sb="24" eb="26">
      <t>ジョウホウ</t>
    </rPh>
    <phoneticPr fontId="51"/>
  </si>
  <si>
    <r>
      <t>総務係　　民生係　　産業建設係　　(</t>
    </r>
    <r>
      <rPr>
        <sz val="11"/>
        <color theme="1"/>
        <rFont val="ＭＳ Ｐ明朝"/>
        <family val="1"/>
        <charset val="128"/>
      </rPr>
      <t>ふたえ市民農園、おおしお市民農園、ぽかぽかランド美麻、ぽかぽかランド美遊)</t>
    </r>
    <rPh sb="0" eb="2">
      <t>ソウム</t>
    </rPh>
    <rPh sb="2" eb="3">
      <t>カカリ</t>
    </rPh>
    <rPh sb="5" eb="7">
      <t>ミンセイ</t>
    </rPh>
    <rPh sb="7" eb="8">
      <t>ガカリ</t>
    </rPh>
    <phoneticPr fontId="51"/>
  </si>
  <si>
    <r>
      <t>市民・戸籍係　　国保・年金係</t>
    </r>
    <r>
      <rPr>
        <sz val="11"/>
        <color theme="1"/>
        <rFont val="ＭＳ Ｐ明朝"/>
        <family val="1"/>
        <charset val="128"/>
      </rPr>
      <t>　　消費生活・交通安全係　　保健予防係　　健康推進係　　（国民健康保険八坂診療所、
国民健康保険美麻診療所、中央保健センター、八坂保健センター、美麻保健センター、コミュニティセンター「上原の湯」、
消費生活センター)　　</t>
    </r>
    <rPh sb="0" eb="2">
      <t>シミン</t>
    </rPh>
    <rPh sb="3" eb="5">
      <t>コセキ</t>
    </rPh>
    <rPh sb="5" eb="6">
      <t>カカ</t>
    </rPh>
    <rPh sb="8" eb="10">
      <t>コクホ</t>
    </rPh>
    <rPh sb="11" eb="13">
      <t>ネンキン</t>
    </rPh>
    <rPh sb="13" eb="14">
      <t>カカ</t>
    </rPh>
    <rPh sb="16" eb="18">
      <t>ショウヒ</t>
    </rPh>
    <rPh sb="18" eb="20">
      <t>セイカツ</t>
    </rPh>
    <rPh sb="21" eb="23">
      <t>コウツウ</t>
    </rPh>
    <rPh sb="23" eb="25">
      <t>アンゼン</t>
    </rPh>
    <rPh sb="25" eb="26">
      <t>カカリ</t>
    </rPh>
    <rPh sb="28" eb="30">
      <t>ホケン</t>
    </rPh>
    <rPh sb="30" eb="32">
      <t>ヨボウ</t>
    </rPh>
    <rPh sb="32" eb="33">
      <t>カカリ</t>
    </rPh>
    <rPh sb="35" eb="37">
      <t>ケンコウ</t>
    </rPh>
    <rPh sb="37" eb="39">
      <t>スイシン</t>
    </rPh>
    <rPh sb="39" eb="40">
      <t>ガカリ</t>
    </rPh>
    <rPh sb="43" eb="45">
      <t>コクミン</t>
    </rPh>
    <rPh sb="45" eb="47">
      <t>ケンコウ</t>
    </rPh>
    <rPh sb="47" eb="49">
      <t>ホケン</t>
    </rPh>
    <rPh sb="49" eb="51">
      <t>ヤサカ</t>
    </rPh>
    <rPh sb="51" eb="53">
      <t>シンリョウ</t>
    </rPh>
    <rPh sb="53" eb="54">
      <t>ショ</t>
    </rPh>
    <rPh sb="62" eb="64">
      <t>ミアサ</t>
    </rPh>
    <rPh sb="64" eb="67">
      <t>シンリョウジョ</t>
    </rPh>
    <rPh sb="77" eb="79">
      <t>ヤサカ</t>
    </rPh>
    <rPh sb="79" eb="81">
      <t>ホケン</t>
    </rPh>
    <rPh sb="86" eb="88">
      <t>ミアサ</t>
    </rPh>
    <rPh sb="88" eb="90">
      <t>ホケン</t>
    </rPh>
    <rPh sb="106" eb="108">
      <t>ウエハラ</t>
    </rPh>
    <rPh sb="109" eb="110">
      <t>ユ</t>
    </rPh>
    <rPh sb="113" eb="115">
      <t>ショウヒ</t>
    </rPh>
    <rPh sb="115" eb="117">
      <t>セイカツ</t>
    </rPh>
    <phoneticPr fontId="51"/>
  </si>
  <si>
    <r>
      <t>庶務係　　福祉係　　</t>
    </r>
    <r>
      <rPr>
        <sz val="11"/>
        <color theme="1"/>
        <rFont val="ＭＳ Ｐ明朝"/>
        <family val="1"/>
        <charset val="128"/>
      </rPr>
      <t>高齢者・包括支援係　　（総合福祉センター、八坂総合福祉センター、美麻総合福祉センター、
八坂デイサービスセンター、美麻デイサービスセンター、陶芸の家、社会就労センター、美麻福祉企業センター、
ふれあいプラザ）　　　</t>
    </r>
    <rPh sb="0" eb="2">
      <t>ショム</t>
    </rPh>
    <rPh sb="2" eb="3">
      <t>カカリ</t>
    </rPh>
    <rPh sb="5" eb="7">
      <t>フクシ</t>
    </rPh>
    <rPh sb="7" eb="8">
      <t>カカリ</t>
    </rPh>
    <rPh sb="10" eb="13">
      <t>コウレイシャ</t>
    </rPh>
    <rPh sb="14" eb="16">
      <t>ホウカツ</t>
    </rPh>
    <rPh sb="16" eb="18">
      <t>シエン</t>
    </rPh>
    <rPh sb="18" eb="19">
      <t>カカリ</t>
    </rPh>
    <phoneticPr fontId="51"/>
  </si>
  <si>
    <r>
      <t>商業労政係　　特産品振興</t>
    </r>
    <r>
      <rPr>
        <sz val="11"/>
        <color theme="1"/>
        <rFont val="ＭＳ Ｐ明朝"/>
        <family val="1"/>
        <charset val="128"/>
      </rPr>
      <t>係　　移住定住促進係　　（労働会館、職業訓練校、中心市街地多目的ホール）</t>
    </r>
    <rPh sb="0" eb="2">
      <t>ショウギョウ</t>
    </rPh>
    <rPh sb="2" eb="4">
      <t>ロウセイ</t>
    </rPh>
    <rPh sb="4" eb="5">
      <t>カカ</t>
    </rPh>
    <rPh sb="7" eb="10">
      <t>トクサンヒン</t>
    </rPh>
    <rPh sb="12" eb="13">
      <t>カカリ</t>
    </rPh>
    <rPh sb="36" eb="38">
      <t>チュウシン</t>
    </rPh>
    <rPh sb="38" eb="41">
      <t>シガイチ</t>
    </rPh>
    <rPh sb="41" eb="44">
      <t>タモクテキ</t>
    </rPh>
    <phoneticPr fontId="51"/>
  </si>
  <si>
    <r>
      <t>観光</t>
    </r>
    <r>
      <rPr>
        <sz val="11"/>
        <color theme="1"/>
        <rFont val="ＭＳ Ｐ明朝"/>
        <family val="1"/>
        <charset val="128"/>
      </rPr>
      <t>企画係　　芸術文化係　国際芸術祭推進係　　（扇沢総合案内センター、アミューズメントハウス「ゆ～ぷる木崎湖」）</t>
    </r>
    <rPh sb="0" eb="2">
      <t>カンコウ</t>
    </rPh>
    <rPh sb="2" eb="4">
      <t>キカク</t>
    </rPh>
    <rPh sb="4" eb="5">
      <t>ガカリ</t>
    </rPh>
    <phoneticPr fontId="51"/>
  </si>
  <si>
    <r>
      <rPr>
        <sz val="11"/>
        <color theme="1"/>
        <rFont val="ＭＳ Ｐ明朝"/>
        <family val="1"/>
        <charset val="128"/>
      </rPr>
      <t>庶務係　　森林振興係　　農業振興係　　農業推進支援係　　（たかね市民農園）</t>
    </r>
    <rPh sb="0" eb="2">
      <t>ショム</t>
    </rPh>
    <rPh sb="2" eb="3">
      <t>カカリ</t>
    </rPh>
    <rPh sb="5" eb="7">
      <t>シンリン</t>
    </rPh>
    <rPh sb="7" eb="9">
      <t>シンコウ</t>
    </rPh>
    <rPh sb="9" eb="10">
      <t>ガカリ</t>
    </rPh>
    <rPh sb="12" eb="14">
      <t>ノウギョウ</t>
    </rPh>
    <rPh sb="14" eb="16">
      <t>シンコウ</t>
    </rPh>
    <rPh sb="16" eb="17">
      <t>カカリ</t>
    </rPh>
    <rPh sb="19" eb="21">
      <t>ノウギョウ</t>
    </rPh>
    <rPh sb="21" eb="23">
      <t>スイシン</t>
    </rPh>
    <rPh sb="23" eb="25">
      <t>シエン</t>
    </rPh>
    <rPh sb="25" eb="26">
      <t>カカリ</t>
    </rPh>
    <rPh sb="32" eb="34">
      <t>シミン</t>
    </rPh>
    <rPh sb="34" eb="36">
      <t>ノウエン</t>
    </rPh>
    <phoneticPr fontId="51"/>
  </si>
  <si>
    <r>
      <t>計画係　　</t>
    </r>
    <r>
      <rPr>
        <sz val="11"/>
        <color theme="1"/>
        <rFont val="ＭＳ Ｐ明朝"/>
        <family val="1"/>
        <charset val="128"/>
      </rPr>
      <t>維持管理係　　建設係　　農地整備係　　建築住宅係</t>
    </r>
    <rPh sb="0" eb="2">
      <t>ケイカク</t>
    </rPh>
    <rPh sb="2" eb="3">
      <t>カカリ</t>
    </rPh>
    <rPh sb="5" eb="7">
      <t>イジ</t>
    </rPh>
    <rPh sb="7" eb="9">
      <t>カンリ</t>
    </rPh>
    <rPh sb="9" eb="10">
      <t>ガカリ</t>
    </rPh>
    <rPh sb="12" eb="14">
      <t>ケンセツ</t>
    </rPh>
    <rPh sb="14" eb="15">
      <t>カカリ</t>
    </rPh>
    <rPh sb="17" eb="19">
      <t>ノウチ</t>
    </rPh>
    <rPh sb="19" eb="21">
      <t>セイビ</t>
    </rPh>
    <rPh sb="21" eb="22">
      <t>カカリ</t>
    </rPh>
    <rPh sb="24" eb="26">
      <t>ケンチク</t>
    </rPh>
    <rPh sb="26" eb="28">
      <t>ジュウタク</t>
    </rPh>
    <rPh sb="28" eb="29">
      <t>カカリ</t>
    </rPh>
    <phoneticPr fontId="51"/>
  </si>
  <si>
    <r>
      <t>庶務係　　学校教育係　　</t>
    </r>
    <r>
      <rPr>
        <sz val="11"/>
        <color theme="1"/>
        <rFont val="ＭＳ Ｐ明朝"/>
        <family val="1"/>
        <charset val="128"/>
      </rPr>
      <t>学校再編係　　八坂教育担当　　美麻教育担当　　(大町西小学校、大町北小学校、
大町南小学校、大町東小学校、八坂小中学校、美麻小中学校、大町中学校、アルプスの家)</t>
    </r>
    <rPh sb="0" eb="2">
      <t>ショム</t>
    </rPh>
    <rPh sb="2" eb="3">
      <t>カカリ</t>
    </rPh>
    <rPh sb="5" eb="7">
      <t>ガッコウ</t>
    </rPh>
    <rPh sb="7" eb="9">
      <t>キョウイク</t>
    </rPh>
    <rPh sb="9" eb="10">
      <t>カカリ</t>
    </rPh>
    <rPh sb="12" eb="14">
      <t>ガッコウ</t>
    </rPh>
    <rPh sb="14" eb="16">
      <t>サイヘン</t>
    </rPh>
    <rPh sb="16" eb="17">
      <t>ガカリ</t>
    </rPh>
    <rPh sb="19" eb="21">
      <t>ヤサカ</t>
    </rPh>
    <rPh sb="21" eb="23">
      <t>キョウイク</t>
    </rPh>
    <rPh sb="23" eb="25">
      <t>タントウ</t>
    </rPh>
    <rPh sb="27" eb="29">
      <t>ミアサ</t>
    </rPh>
    <rPh sb="29" eb="31">
      <t>キョウイク</t>
    </rPh>
    <rPh sb="31" eb="33">
      <t>タントウ</t>
    </rPh>
    <rPh sb="36" eb="38">
      <t>オオマチ</t>
    </rPh>
    <rPh sb="38" eb="39">
      <t>ニシ</t>
    </rPh>
    <rPh sb="39" eb="42">
      <t>ショウガッコウ</t>
    </rPh>
    <rPh sb="43" eb="45">
      <t>オオマチ</t>
    </rPh>
    <rPh sb="45" eb="46">
      <t>キタ</t>
    </rPh>
    <rPh sb="46" eb="49">
      <t>ショウガッコウ</t>
    </rPh>
    <rPh sb="51" eb="53">
      <t>オオマチ</t>
    </rPh>
    <rPh sb="53" eb="54">
      <t>ミナミ</t>
    </rPh>
    <rPh sb="54" eb="57">
      <t>ショウガッコウ</t>
    </rPh>
    <rPh sb="60" eb="61">
      <t>ヒガシ</t>
    </rPh>
    <rPh sb="65" eb="67">
      <t>ヤサカ</t>
    </rPh>
    <rPh sb="72" eb="74">
      <t>ミアサ</t>
    </rPh>
    <rPh sb="74" eb="75">
      <t>ショウ</t>
    </rPh>
    <rPh sb="75" eb="76">
      <t>ナカ</t>
    </rPh>
    <rPh sb="76" eb="78">
      <t>ガッコウ</t>
    </rPh>
    <rPh sb="79" eb="81">
      <t>オオマチ</t>
    </rPh>
    <rPh sb="90" eb="91">
      <t>イエ</t>
    </rPh>
    <phoneticPr fontId="51"/>
  </si>
  <si>
    <r>
      <t>内科　　総合診療科　　小児科　　外科　　整形外科　　脳神経外科　　皮膚科　　泌尿器科　　産婦人科　　眼科
耳鼻咽喉科　　麻酔科　　形成外科　　歯科口腔外科　　手術室・中央材料室　　内視鏡室　　人工透析室
発達支援室　　</t>
    </r>
    <r>
      <rPr>
        <sz val="11"/>
        <color theme="1"/>
        <rFont val="ＭＳ Ｐ明朝"/>
        <family val="1"/>
        <charset val="128"/>
      </rPr>
      <t>医療支援室</t>
    </r>
    <rPh sb="0" eb="2">
      <t>ナイカ</t>
    </rPh>
    <rPh sb="4" eb="6">
      <t>ソウゴウ</t>
    </rPh>
    <rPh sb="6" eb="8">
      <t>シンリョウ</t>
    </rPh>
    <rPh sb="8" eb="9">
      <t>カ</t>
    </rPh>
    <rPh sb="11" eb="14">
      <t>ショウニカ</t>
    </rPh>
    <rPh sb="16" eb="18">
      <t>ゲカ</t>
    </rPh>
    <rPh sb="20" eb="22">
      <t>セイケイ</t>
    </rPh>
    <rPh sb="22" eb="24">
      <t>ゲカ</t>
    </rPh>
    <rPh sb="26" eb="29">
      <t>ノウシンケイ</t>
    </rPh>
    <rPh sb="29" eb="31">
      <t>ゲカ</t>
    </rPh>
    <rPh sb="33" eb="36">
      <t>ヒフカ</t>
    </rPh>
    <rPh sb="38" eb="41">
      <t>ヒニョウキ</t>
    </rPh>
    <rPh sb="41" eb="42">
      <t>カ</t>
    </rPh>
    <rPh sb="60" eb="63">
      <t>マスイカ</t>
    </rPh>
    <rPh sb="65" eb="67">
      <t>ケイセイ</t>
    </rPh>
    <rPh sb="67" eb="69">
      <t>ゲカ</t>
    </rPh>
    <rPh sb="71" eb="73">
      <t>シカ</t>
    </rPh>
    <rPh sb="73" eb="75">
      <t>コウクウ</t>
    </rPh>
    <rPh sb="75" eb="77">
      <t>ゲカ</t>
    </rPh>
    <rPh sb="83" eb="85">
      <t>チュウオウ</t>
    </rPh>
    <rPh sb="85" eb="87">
      <t>ザイリョウ</t>
    </rPh>
    <rPh sb="87" eb="88">
      <t>シツ</t>
    </rPh>
    <rPh sb="90" eb="93">
      <t>ナイシキョウ</t>
    </rPh>
    <rPh sb="93" eb="94">
      <t>シツ</t>
    </rPh>
    <rPh sb="102" eb="104">
      <t>ハッタツ</t>
    </rPh>
    <rPh sb="104" eb="106">
      <t>シエン</t>
    </rPh>
    <rPh sb="106" eb="107">
      <t>シツ</t>
    </rPh>
    <rPh sb="109" eb="111">
      <t>イリョウ</t>
    </rPh>
    <rPh sb="111" eb="113">
      <t>シエン</t>
    </rPh>
    <rPh sb="113" eb="114">
      <t>シツ</t>
    </rPh>
    <phoneticPr fontId="51"/>
  </si>
  <si>
    <r>
      <t>薬剤科　　放射線</t>
    </r>
    <r>
      <rPr>
        <sz val="11"/>
        <color theme="1"/>
        <rFont val="ＭＳ Ｐ明朝"/>
        <family val="1"/>
        <charset val="128"/>
      </rPr>
      <t>科　　臨床検査科　　リハビリテーション科　　栄養科　　臨床工学科　　歯科衛生科</t>
    </r>
    <rPh sb="0" eb="2">
      <t>ヤクザイ</t>
    </rPh>
    <rPh sb="2" eb="3">
      <t>カ</t>
    </rPh>
    <rPh sb="5" eb="8">
      <t>ホウシャセン</t>
    </rPh>
    <rPh sb="8" eb="9">
      <t>カ</t>
    </rPh>
    <rPh sb="11" eb="13">
      <t>リンショウ</t>
    </rPh>
    <rPh sb="13" eb="15">
      <t>ケンサ</t>
    </rPh>
    <rPh sb="30" eb="32">
      <t>エイヨウ</t>
    </rPh>
    <rPh sb="35" eb="37">
      <t>リンショウ</t>
    </rPh>
    <rPh sb="37" eb="39">
      <t>コウガク</t>
    </rPh>
    <phoneticPr fontId="51"/>
  </si>
  <si>
    <t>体　　　　　育　　　　　施　　　　　設</t>
    <rPh sb="0" eb="19">
      <t>タイイクシセツ</t>
    </rPh>
    <phoneticPr fontId="5"/>
  </si>
  <si>
    <t>名　　　　　　　　　　　　　　称</t>
    <rPh sb="0" eb="16">
      <t>メイショウ</t>
    </rPh>
    <phoneticPr fontId="5"/>
  </si>
  <si>
    <t>位　　　　　　置</t>
    <rPh sb="0" eb="8">
      <t>イチ</t>
    </rPh>
    <phoneticPr fontId="5"/>
  </si>
  <si>
    <t>開設年</t>
    <rPh sb="0" eb="2">
      <t>カイセツ</t>
    </rPh>
    <rPh sb="2" eb="3">
      <t>ネン</t>
    </rPh>
    <phoneticPr fontId="5"/>
  </si>
  <si>
    <t>面　　　　　積</t>
    <rPh sb="0" eb="7">
      <t>メンセキ</t>
    </rPh>
    <phoneticPr fontId="5"/>
  </si>
  <si>
    <t>利　　　　用　　　　競　　　　技　　　　種　　　　目</t>
    <rPh sb="0" eb="6">
      <t>リヨウ</t>
    </rPh>
    <rPh sb="10" eb="16">
      <t>キョウギ</t>
    </rPh>
    <rPh sb="20" eb="26">
      <t>シュモク</t>
    </rPh>
    <phoneticPr fontId="5"/>
  </si>
  <si>
    <t>大町市平野球場</t>
    <rPh sb="0" eb="3">
      <t>オオマチシ</t>
    </rPh>
    <rPh sb="3" eb="4">
      <t>タイラ</t>
    </rPh>
    <rPh sb="4" eb="7">
      <t>ヤキュウジョウ</t>
    </rPh>
    <phoneticPr fontId="5"/>
  </si>
  <si>
    <t>大町市平9539-3</t>
    <rPh sb="0" eb="3">
      <t>オオマチシ</t>
    </rPh>
    <rPh sb="3" eb="4">
      <t>タイラ</t>
    </rPh>
    <phoneticPr fontId="5"/>
  </si>
  <si>
    <t>S35年</t>
    <rPh sb="3" eb="4">
      <t>ネン</t>
    </rPh>
    <phoneticPr fontId="5"/>
  </si>
  <si>
    <t>野球（1面）、ソフトボール（1面）</t>
    <rPh sb="0" eb="2">
      <t>ヤキュウ</t>
    </rPh>
    <rPh sb="4" eb="5">
      <t>メン</t>
    </rPh>
    <rPh sb="15" eb="16">
      <t>メン</t>
    </rPh>
    <phoneticPr fontId="5"/>
  </si>
  <si>
    <t>大町市平運動場</t>
    <rPh sb="0" eb="3">
      <t>オオマチシ</t>
    </rPh>
    <rPh sb="3" eb="4">
      <t>タイラ</t>
    </rPh>
    <rPh sb="4" eb="7">
      <t>ウンドウジョウ</t>
    </rPh>
    <phoneticPr fontId="5"/>
  </si>
  <si>
    <t>大町市平9370-1</t>
    <rPh sb="0" eb="2">
      <t>オオマチシ</t>
    </rPh>
    <rPh sb="2" eb="3">
      <t>シ</t>
    </rPh>
    <rPh sb="3" eb="4">
      <t>タイラ</t>
    </rPh>
    <phoneticPr fontId="5"/>
  </si>
  <si>
    <t>S52年</t>
    <rPh sb="3" eb="4">
      <t>ネン</t>
    </rPh>
    <phoneticPr fontId="5"/>
  </si>
  <si>
    <t>ソフトボール（2面）、サッカー（1面）</t>
    <rPh sb="8" eb="9">
      <t>メン</t>
    </rPh>
    <rPh sb="17" eb="18">
      <t>メン</t>
    </rPh>
    <phoneticPr fontId="5"/>
  </si>
  <si>
    <t>西公園</t>
    <rPh sb="0" eb="3">
      <t>ニシコウエン</t>
    </rPh>
    <phoneticPr fontId="5"/>
  </si>
  <si>
    <t>運動場</t>
    <rPh sb="0" eb="3">
      <t>ウンドウジョウ</t>
    </rPh>
    <phoneticPr fontId="5"/>
  </si>
  <si>
    <t>大町市大町4687</t>
    <rPh sb="0" eb="3">
      <t>オオマチシ</t>
    </rPh>
    <rPh sb="3" eb="5">
      <t>オオマチ</t>
    </rPh>
    <phoneticPr fontId="5"/>
  </si>
  <si>
    <t>S42年</t>
    <rPh sb="3" eb="4">
      <t>ネン</t>
    </rPh>
    <phoneticPr fontId="5"/>
  </si>
  <si>
    <t>野球（2面）、ソフトボール（2面）、ゲートボール（2面）、スケートリンク（1面）</t>
    <rPh sb="0" eb="2">
      <t>ヤキュウ</t>
    </rPh>
    <rPh sb="4" eb="5">
      <t>メン</t>
    </rPh>
    <rPh sb="15" eb="16">
      <t>メン</t>
    </rPh>
    <rPh sb="26" eb="27">
      <t>メン</t>
    </rPh>
    <rPh sb="38" eb="39">
      <t>メン</t>
    </rPh>
    <phoneticPr fontId="5"/>
  </si>
  <si>
    <t>体育館</t>
    <rPh sb="0" eb="3">
      <t>タイイクカン</t>
    </rPh>
    <phoneticPr fontId="5"/>
  </si>
  <si>
    <t>大町市大町4710</t>
    <rPh sb="0" eb="2">
      <t>オオマチ</t>
    </rPh>
    <rPh sb="2" eb="3">
      <t>シ</t>
    </rPh>
    <rPh sb="3" eb="5">
      <t>オオマチ</t>
    </rPh>
    <phoneticPr fontId="5"/>
  </si>
  <si>
    <t>バレーボール（1面）、バドミントン（3面）、空手道、バスケットボール（1面）、剣道　　　　　　　　　　　　　　　　　　　　　　　　　　　　　　　</t>
    <rPh sb="8" eb="9">
      <t>メン</t>
    </rPh>
    <rPh sb="19" eb="20">
      <t>メン</t>
    </rPh>
    <rPh sb="22" eb="25">
      <t>カラテドウ</t>
    </rPh>
    <rPh sb="36" eb="37">
      <t>メン</t>
    </rPh>
    <rPh sb="39" eb="41">
      <t>ケンドウ</t>
    </rPh>
    <phoneticPr fontId="5"/>
  </si>
  <si>
    <t>大町市常盤運動場</t>
    <rPh sb="0" eb="3">
      <t>オオマチシ</t>
    </rPh>
    <rPh sb="3" eb="5">
      <t>トキワ</t>
    </rPh>
    <rPh sb="5" eb="8">
      <t>ウンドウジョウ</t>
    </rPh>
    <phoneticPr fontId="5"/>
  </si>
  <si>
    <t>大町市常盤3516-38</t>
    <rPh sb="0" eb="3">
      <t>オオマチシ</t>
    </rPh>
    <rPh sb="3" eb="5">
      <t>トキワ</t>
    </rPh>
    <phoneticPr fontId="5"/>
  </si>
  <si>
    <t>野球（1面）、ソフトボール（1面）、スケートリンク（1面）</t>
    <rPh sb="0" eb="2">
      <t>ヤキュウ</t>
    </rPh>
    <rPh sb="4" eb="5">
      <t>メン</t>
    </rPh>
    <rPh sb="15" eb="16">
      <t>メン</t>
    </rPh>
    <rPh sb="27" eb="28">
      <t>メン</t>
    </rPh>
    <phoneticPr fontId="5"/>
  </si>
  <si>
    <t>大町市平ゲートボール場</t>
    <rPh sb="0" eb="3">
      <t>オオマチシ</t>
    </rPh>
    <rPh sb="3" eb="4">
      <t>タイラ</t>
    </rPh>
    <rPh sb="10" eb="11">
      <t>ジョウ</t>
    </rPh>
    <phoneticPr fontId="5"/>
  </si>
  <si>
    <t>大町市平9365-1</t>
    <rPh sb="0" eb="3">
      <t>オオマチシ</t>
    </rPh>
    <rPh sb="3" eb="4">
      <t>タイラ</t>
    </rPh>
    <phoneticPr fontId="5"/>
  </si>
  <si>
    <t>H14年</t>
    <rPh sb="3" eb="4">
      <t>ネン</t>
    </rPh>
    <phoneticPr fontId="5"/>
  </si>
  <si>
    <t>ゲートボール（2面）</t>
    <rPh sb="8" eb="9">
      <t>メン</t>
    </rPh>
    <phoneticPr fontId="5"/>
  </si>
  <si>
    <t>大町市運動公園</t>
    <rPh sb="0" eb="3">
      <t>オオマチシ</t>
    </rPh>
    <rPh sb="3" eb="7">
      <t>ウンドウコウエン</t>
    </rPh>
    <phoneticPr fontId="5"/>
  </si>
  <si>
    <t>陸上競技場</t>
    <rPh sb="0" eb="5">
      <t>リクジョウキョウギジョウ</t>
    </rPh>
    <phoneticPr fontId="5"/>
  </si>
  <si>
    <t>大町市常盤5638-44</t>
    <rPh sb="0" eb="3">
      <t>オオマチシ</t>
    </rPh>
    <rPh sb="3" eb="5">
      <t>トキワ</t>
    </rPh>
    <phoneticPr fontId="5"/>
  </si>
  <si>
    <t>S53年</t>
    <rPh sb="3" eb="4">
      <t>ネン</t>
    </rPh>
    <phoneticPr fontId="5"/>
  </si>
  <si>
    <t>（フィールド内ゲートボール16面）日本陸連4種公認</t>
    <rPh sb="6" eb="7">
      <t>ナイ</t>
    </rPh>
    <rPh sb="15" eb="16">
      <t>メン</t>
    </rPh>
    <rPh sb="17" eb="19">
      <t>ニホン</t>
    </rPh>
    <rPh sb="19" eb="20">
      <t>リク</t>
    </rPh>
    <rPh sb="20" eb="21">
      <t>レン</t>
    </rPh>
    <rPh sb="22" eb="23">
      <t>シュ</t>
    </rPh>
    <rPh sb="23" eb="25">
      <t>コウニン</t>
    </rPh>
    <phoneticPr fontId="5"/>
  </si>
  <si>
    <t>サッカー場</t>
    <rPh sb="4" eb="5">
      <t>ジョウ</t>
    </rPh>
    <phoneticPr fontId="5"/>
  </si>
  <si>
    <t>（1面）</t>
    <rPh sb="2" eb="3">
      <t>メン</t>
    </rPh>
    <phoneticPr fontId="5"/>
  </si>
  <si>
    <t>庭球場</t>
    <rPh sb="0" eb="3">
      <t>テイキュウジョウ</t>
    </rPh>
    <phoneticPr fontId="5"/>
  </si>
  <si>
    <t>全天候</t>
    <rPh sb="0" eb="3">
      <t>ゼンテンコウ</t>
    </rPh>
    <phoneticPr fontId="5"/>
  </si>
  <si>
    <t>S56年</t>
    <rPh sb="3" eb="4">
      <t>ネン</t>
    </rPh>
    <phoneticPr fontId="5"/>
  </si>
  <si>
    <t>全天候（4面）　</t>
    <phoneticPr fontId="5"/>
  </si>
  <si>
    <t>S58年</t>
    <rPh sb="3" eb="4">
      <t>ネン</t>
    </rPh>
    <phoneticPr fontId="5"/>
  </si>
  <si>
    <t>全天候（4面）</t>
    <rPh sb="0" eb="3">
      <t>ゼンテンコウ</t>
    </rPh>
    <rPh sb="5" eb="6">
      <t>メン</t>
    </rPh>
    <phoneticPr fontId="5"/>
  </si>
  <si>
    <t>野球場</t>
    <rPh sb="0" eb="3">
      <t>ヤキュウジョウ</t>
    </rPh>
    <phoneticPr fontId="5"/>
  </si>
  <si>
    <t>S61年</t>
    <rPh sb="3" eb="4">
      <t>ネン</t>
    </rPh>
    <phoneticPr fontId="5"/>
  </si>
  <si>
    <t>野球（1面）</t>
    <rPh sb="0" eb="2">
      <t>ヤキュウ</t>
    </rPh>
    <rPh sb="4" eb="5">
      <t>メン</t>
    </rPh>
    <phoneticPr fontId="5"/>
  </si>
  <si>
    <t>多目的広場</t>
    <rPh sb="0" eb="3">
      <t>タモクテキ</t>
    </rPh>
    <rPh sb="3" eb="5">
      <t>ヒロバ</t>
    </rPh>
    <phoneticPr fontId="5"/>
  </si>
  <si>
    <t>S62年</t>
    <rPh sb="3" eb="4">
      <t>ネン</t>
    </rPh>
    <phoneticPr fontId="5"/>
  </si>
  <si>
    <t>野球（1面）、ソフトボール（2面）、サッカー（1面）</t>
    <rPh sb="0" eb="2">
      <t>ヤキュウ</t>
    </rPh>
    <rPh sb="4" eb="5">
      <t>メン</t>
    </rPh>
    <rPh sb="15" eb="16">
      <t>メン</t>
    </rPh>
    <rPh sb="24" eb="25">
      <t>メン</t>
    </rPh>
    <phoneticPr fontId="5"/>
  </si>
  <si>
    <t>弓道場</t>
    <rPh sb="0" eb="3">
      <t>キュウドウジョウ</t>
    </rPh>
    <phoneticPr fontId="5"/>
  </si>
  <si>
    <t>遠的（1面）・近的（1面）的場129.6㎡・的44.82㎡・5人立</t>
    <rPh sb="0" eb="1">
      <t>トオ</t>
    </rPh>
    <rPh sb="1" eb="2">
      <t>マト</t>
    </rPh>
    <rPh sb="4" eb="5">
      <t>メン</t>
    </rPh>
    <rPh sb="7" eb="8">
      <t>チカ</t>
    </rPh>
    <rPh sb="8" eb="9">
      <t>テキ</t>
    </rPh>
    <rPh sb="11" eb="12">
      <t>メン</t>
    </rPh>
    <rPh sb="13" eb="15">
      <t>マトバ</t>
    </rPh>
    <rPh sb="22" eb="23">
      <t>マト</t>
    </rPh>
    <rPh sb="31" eb="32">
      <t>ニン</t>
    </rPh>
    <rPh sb="32" eb="33">
      <t>タ</t>
    </rPh>
    <phoneticPr fontId="5"/>
  </si>
  <si>
    <t>マレットゴルフ北コース</t>
    <rPh sb="7" eb="8">
      <t>キタ</t>
    </rPh>
    <phoneticPr fontId="5"/>
  </si>
  <si>
    <t>S57年</t>
    <rPh sb="3" eb="4">
      <t>ネン</t>
    </rPh>
    <phoneticPr fontId="5"/>
  </si>
  <si>
    <t>36ホール
（パー144）</t>
    <phoneticPr fontId="5"/>
  </si>
  <si>
    <t>マレットゴルフ南コース</t>
    <rPh sb="7" eb="8">
      <t>ミナミ</t>
    </rPh>
    <phoneticPr fontId="5"/>
  </si>
  <si>
    <t>S63年</t>
    <rPh sb="3" eb="4">
      <t>ネン</t>
    </rPh>
    <phoneticPr fontId="5"/>
  </si>
  <si>
    <t>総合体育館</t>
    <rPh sb="0" eb="5">
      <t>ソウゴウタイイクカン</t>
    </rPh>
    <phoneticPr fontId="5"/>
  </si>
  <si>
    <t>メインアリーナ(1,627㎡)、サブアリーナ（558㎡）、ランニングコース（170ｍ）、
バレーボール(4面)、バドミントン(13面)、バスケットボール(3面)、
ギャラリー（固定席544席）・収容人数2,500名</t>
    <rPh sb="53" eb="54">
      <t>メン</t>
    </rPh>
    <rPh sb="65" eb="66">
      <t>メン</t>
    </rPh>
    <rPh sb="78" eb="79">
      <t>メン</t>
    </rPh>
    <rPh sb="88" eb="90">
      <t>コテイ</t>
    </rPh>
    <rPh sb="90" eb="91">
      <t>セキ</t>
    </rPh>
    <rPh sb="94" eb="95">
      <t>セキ</t>
    </rPh>
    <rPh sb="97" eb="99">
      <t>シュウヨウ</t>
    </rPh>
    <rPh sb="99" eb="101">
      <t>ニンズウ</t>
    </rPh>
    <rPh sb="106" eb="107">
      <t>メイ</t>
    </rPh>
    <phoneticPr fontId="5"/>
  </si>
  <si>
    <t>陸上競技場メインスタンド棟</t>
    <rPh sb="0" eb="5">
      <t>リクジョウキョウギジョウ</t>
    </rPh>
    <rPh sb="12" eb="13">
      <t>トウ</t>
    </rPh>
    <phoneticPr fontId="5"/>
  </si>
  <si>
    <t>収容人員　メインスタンド1,400名、芝スタンド4,000名　　　　　　　　　　　　　　　　　　　　　　　　　　　　　　　　　　　　　　　　　　　　　　　　　　　　　　更衣室（2室）、倉庫（3室）、役員室（1室）、事務室（1室）、医務室（1室）、便所ほか</t>
    <rPh sb="0" eb="2">
      <t>シュウヨウ</t>
    </rPh>
    <rPh sb="2" eb="4">
      <t>ジンイン</t>
    </rPh>
    <rPh sb="17" eb="18">
      <t>メイ</t>
    </rPh>
    <rPh sb="19" eb="20">
      <t>シバ</t>
    </rPh>
    <rPh sb="29" eb="30">
      <t>メイ</t>
    </rPh>
    <rPh sb="84" eb="87">
      <t>コウイシツ</t>
    </rPh>
    <rPh sb="89" eb="90">
      <t>シツ</t>
    </rPh>
    <rPh sb="92" eb="94">
      <t>ソウコ</t>
    </rPh>
    <rPh sb="96" eb="97">
      <t>シツ</t>
    </rPh>
    <rPh sb="99" eb="102">
      <t>ヤクインシツ</t>
    </rPh>
    <rPh sb="104" eb="105">
      <t>シツ</t>
    </rPh>
    <rPh sb="107" eb="110">
      <t>ジムシツ</t>
    </rPh>
    <rPh sb="112" eb="113">
      <t>シツ</t>
    </rPh>
    <rPh sb="115" eb="118">
      <t>イムシツ</t>
    </rPh>
    <rPh sb="120" eb="121">
      <t>シツ</t>
    </rPh>
    <rPh sb="123" eb="125">
      <t>ベンジョ</t>
    </rPh>
    <phoneticPr fontId="5"/>
  </si>
  <si>
    <t>サッカー場メインスタンド棟</t>
    <rPh sb="4" eb="5">
      <t>ジョウ</t>
    </rPh>
    <rPh sb="12" eb="13">
      <t>トウ</t>
    </rPh>
    <phoneticPr fontId="5"/>
  </si>
  <si>
    <t>収容人員　メインスタンド743名、芝スタンド2,000名　　　　　　　　　　　　　　　　　　　　　　　　　　　　　　　　　　　　　　　　　　　　　　　　　　　　　　　選手控室（4室）、倉庫（3室）、役員室（1室）、放送室（1室）、医務室（1室）、便所ほか</t>
    <rPh sb="0" eb="2">
      <t>シュウヨウ</t>
    </rPh>
    <rPh sb="2" eb="4">
      <t>ジンイン</t>
    </rPh>
    <rPh sb="15" eb="16">
      <t>メイ</t>
    </rPh>
    <rPh sb="17" eb="18">
      <t>シバ</t>
    </rPh>
    <rPh sb="27" eb="28">
      <t>メイ</t>
    </rPh>
    <rPh sb="83" eb="85">
      <t>センシュ</t>
    </rPh>
    <rPh sb="85" eb="87">
      <t>ヒカエシツ</t>
    </rPh>
    <rPh sb="89" eb="90">
      <t>シツ</t>
    </rPh>
    <rPh sb="92" eb="94">
      <t>ソウコ</t>
    </rPh>
    <rPh sb="96" eb="97">
      <t>シツ</t>
    </rPh>
    <rPh sb="99" eb="102">
      <t>ヤクインシツ</t>
    </rPh>
    <rPh sb="104" eb="105">
      <t>シツ</t>
    </rPh>
    <rPh sb="107" eb="110">
      <t>ホウソウシツ</t>
    </rPh>
    <rPh sb="112" eb="113">
      <t>シツ</t>
    </rPh>
    <rPh sb="115" eb="118">
      <t>イムシツ</t>
    </rPh>
    <rPh sb="120" eb="121">
      <t>シツ</t>
    </rPh>
    <rPh sb="123" eb="125">
      <t>ベンジョ</t>
    </rPh>
    <phoneticPr fontId="5"/>
  </si>
  <si>
    <t>野球場メインスタンド棟</t>
    <rPh sb="0" eb="3">
      <t>ヤキュウジョウ</t>
    </rPh>
    <rPh sb="10" eb="11">
      <t>トウ</t>
    </rPh>
    <phoneticPr fontId="5"/>
  </si>
  <si>
    <t>収容人員　メインスタンド562名、内野階段スタンド352名、内野芝スタンド1,070名、
外野スタンド2,616名、更衣室（2室）、事務室（1室）、本部室（1室）、放送室（1室）、
便所ほか</t>
    <rPh sb="0" eb="2">
      <t>シュウヨウ</t>
    </rPh>
    <rPh sb="2" eb="4">
      <t>ジンイン</t>
    </rPh>
    <rPh sb="15" eb="16">
      <t>メイ</t>
    </rPh>
    <rPh sb="17" eb="19">
      <t>ナイヤ</t>
    </rPh>
    <rPh sb="19" eb="21">
      <t>カイダン</t>
    </rPh>
    <rPh sb="28" eb="29">
      <t>メイ</t>
    </rPh>
    <rPh sb="30" eb="32">
      <t>ナイヤ</t>
    </rPh>
    <rPh sb="32" eb="33">
      <t>シバ</t>
    </rPh>
    <rPh sb="42" eb="43">
      <t>メイ</t>
    </rPh>
    <rPh sb="45" eb="47">
      <t>ガイヤ</t>
    </rPh>
    <rPh sb="56" eb="57">
      <t>メイ</t>
    </rPh>
    <rPh sb="58" eb="61">
      <t>コウイシツ</t>
    </rPh>
    <rPh sb="63" eb="64">
      <t>シツ</t>
    </rPh>
    <rPh sb="66" eb="69">
      <t>ジムシツ</t>
    </rPh>
    <rPh sb="71" eb="72">
      <t>シツ</t>
    </rPh>
    <rPh sb="74" eb="77">
      <t>ホンブシツ</t>
    </rPh>
    <rPh sb="79" eb="80">
      <t>シツ</t>
    </rPh>
    <rPh sb="82" eb="85">
      <t>ホウソウシツ</t>
    </rPh>
    <rPh sb="87" eb="88">
      <t>シツ</t>
    </rPh>
    <rPh sb="91" eb="93">
      <t>ベンジョ</t>
    </rPh>
    <phoneticPr fontId="5"/>
  </si>
  <si>
    <t>第一屋内運動場</t>
    <rPh sb="0" eb="2">
      <t>ダイイチ</t>
    </rPh>
    <rPh sb="2" eb="4">
      <t>オクナイ</t>
    </rPh>
    <rPh sb="4" eb="7">
      <t>ウンドウジョウ</t>
    </rPh>
    <phoneticPr fontId="5"/>
  </si>
  <si>
    <t>H 6年</t>
    <rPh sb="3" eb="4">
      <t>ネン</t>
    </rPh>
    <phoneticPr fontId="5"/>
  </si>
  <si>
    <t>ゲートボール（2面）、テニス（1面）、ミニサッカー（1面）</t>
    <rPh sb="8" eb="9">
      <t>メン</t>
    </rPh>
    <rPh sb="16" eb="17">
      <t>メン</t>
    </rPh>
    <rPh sb="27" eb="28">
      <t>メン</t>
    </rPh>
    <phoneticPr fontId="5"/>
  </si>
  <si>
    <t>第二屋内運動場</t>
    <rPh sb="0" eb="1">
      <t>ダイ</t>
    </rPh>
    <rPh sb="1" eb="2">
      <t>２</t>
    </rPh>
    <rPh sb="2" eb="4">
      <t>オクナイ</t>
    </rPh>
    <rPh sb="4" eb="7">
      <t>ウンドウジョウ</t>
    </rPh>
    <phoneticPr fontId="5"/>
  </si>
  <si>
    <t>H29年</t>
    <rPh sb="3" eb="4">
      <t>ネン</t>
    </rPh>
    <phoneticPr fontId="5"/>
  </si>
  <si>
    <t>テニス（2面）、ゲートボール（2面）、フットサル（2面）</t>
    <rPh sb="5" eb="6">
      <t>メン</t>
    </rPh>
    <rPh sb="16" eb="17">
      <t>メン</t>
    </rPh>
    <rPh sb="26" eb="27">
      <t>メン</t>
    </rPh>
    <phoneticPr fontId="5"/>
  </si>
  <si>
    <t>多目的芝生広場</t>
    <rPh sb="0" eb="3">
      <t>タモクテキ</t>
    </rPh>
    <rPh sb="3" eb="5">
      <t>シバフ</t>
    </rPh>
    <rPh sb="5" eb="7">
      <t>ヒロバ</t>
    </rPh>
    <phoneticPr fontId="5"/>
  </si>
  <si>
    <t>H24年</t>
    <rPh sb="3" eb="4">
      <t>ネン</t>
    </rPh>
    <phoneticPr fontId="5"/>
  </si>
  <si>
    <t>大町市B&amp;G
海洋センター</t>
    <rPh sb="0" eb="3">
      <t>オオマチシ</t>
    </rPh>
    <rPh sb="7" eb="9">
      <t>カイヨウ</t>
    </rPh>
    <phoneticPr fontId="5"/>
  </si>
  <si>
    <t>大町市平10352-2</t>
    <rPh sb="0" eb="3">
      <t>オオマチシ</t>
    </rPh>
    <rPh sb="3" eb="4">
      <t>タイラ</t>
    </rPh>
    <phoneticPr fontId="5"/>
  </si>
  <si>
    <t>S54年</t>
    <rPh sb="3" eb="4">
      <t>ネン</t>
    </rPh>
    <phoneticPr fontId="5"/>
  </si>
  <si>
    <t>バレーボール（2面）、バスケットボール（１面）、バドミントン（3面）、テニス（1面）、卓球（4台）、　　　　　　　　　　　　　　　　　　　　　　　　　　　　　　柔道（50畳）、空手道、剣道　　　　　　　　　　　　　　　　　　　　　　　　　　　　　　　</t>
    <rPh sb="8" eb="9">
      <t>メン</t>
    </rPh>
    <rPh sb="21" eb="22">
      <t>メン</t>
    </rPh>
    <rPh sb="32" eb="33">
      <t>メン</t>
    </rPh>
    <rPh sb="40" eb="41">
      <t>メン</t>
    </rPh>
    <rPh sb="43" eb="45">
      <t>タッキュウ</t>
    </rPh>
    <rPh sb="47" eb="48">
      <t>ダイ</t>
    </rPh>
    <rPh sb="80" eb="82">
      <t>ジュウドウ</t>
    </rPh>
    <rPh sb="85" eb="86">
      <t>ジョウ</t>
    </rPh>
    <rPh sb="88" eb="91">
      <t>カラテドウ</t>
    </rPh>
    <rPh sb="92" eb="94">
      <t>ケンドウ</t>
    </rPh>
    <phoneticPr fontId="5"/>
  </si>
  <si>
    <t>艇庫</t>
    <rPh sb="0" eb="2">
      <t>テイコ</t>
    </rPh>
    <phoneticPr fontId="5"/>
  </si>
  <si>
    <t>大町市平9707-2</t>
    <rPh sb="0" eb="3">
      <t>オオマチシ</t>
    </rPh>
    <rPh sb="3" eb="4">
      <t>タイラ</t>
    </rPh>
    <phoneticPr fontId="5"/>
  </si>
  <si>
    <t>カヌー（20艇）、OPヨット（10艇）、12Fヨット（2艇）、カッター（2艇）、ボードセール（9艇）ほか</t>
    <rPh sb="6" eb="7">
      <t>テイ</t>
    </rPh>
    <rPh sb="17" eb="18">
      <t>テイ</t>
    </rPh>
    <rPh sb="28" eb="29">
      <t>テイ</t>
    </rPh>
    <rPh sb="37" eb="38">
      <t>テイ</t>
    </rPh>
    <rPh sb="48" eb="49">
      <t>テイ</t>
    </rPh>
    <phoneticPr fontId="5"/>
  </si>
  <si>
    <t>大町市社3945-3</t>
    <rPh sb="0" eb="3">
      <t>オオマチシ</t>
    </rPh>
    <rPh sb="3" eb="4">
      <t>ヤシロ</t>
    </rPh>
    <phoneticPr fontId="5"/>
  </si>
  <si>
    <t>やしろ公園運動広場</t>
    <rPh sb="3" eb="5">
      <t>コウエン</t>
    </rPh>
    <rPh sb="5" eb="7">
      <t>ウンドウ</t>
    </rPh>
    <rPh sb="7" eb="9">
      <t>ヒロバ</t>
    </rPh>
    <phoneticPr fontId="5"/>
  </si>
  <si>
    <t>大町市社8200</t>
    <rPh sb="0" eb="3">
      <t>オオマチシ</t>
    </rPh>
    <rPh sb="3" eb="4">
      <t>ヤシロ</t>
    </rPh>
    <phoneticPr fontId="5"/>
  </si>
  <si>
    <t>H 8年</t>
    <rPh sb="3" eb="4">
      <t>ネン</t>
    </rPh>
    <phoneticPr fontId="5"/>
  </si>
  <si>
    <t>ソフトボール（1面）</t>
    <rPh sb="8" eb="9">
      <t>メン</t>
    </rPh>
    <phoneticPr fontId="5"/>
  </si>
  <si>
    <t>八坂トレーニングセンター</t>
    <rPh sb="0" eb="2">
      <t>ヤサカ</t>
    </rPh>
    <phoneticPr fontId="5"/>
  </si>
  <si>
    <t>大町市八坂11642</t>
    <rPh sb="0" eb="3">
      <t>オオマチシ</t>
    </rPh>
    <rPh sb="3" eb="4">
      <t>８</t>
    </rPh>
    <rPh sb="4" eb="5">
      <t>サカ</t>
    </rPh>
    <phoneticPr fontId="5"/>
  </si>
  <si>
    <t>バスケットボール（中１面）、バレーボール（2面）、バドミントン（4面）、卓球（3台まで可）</t>
    <rPh sb="9" eb="10">
      <t>チュウ</t>
    </rPh>
    <rPh sb="11" eb="12">
      <t>メン</t>
    </rPh>
    <rPh sb="22" eb="23">
      <t>メン</t>
    </rPh>
    <rPh sb="33" eb="34">
      <t>メン</t>
    </rPh>
    <phoneticPr fontId="5"/>
  </si>
  <si>
    <t>八坂運動場</t>
    <rPh sb="0" eb="2">
      <t>ヤサカ</t>
    </rPh>
    <rPh sb="2" eb="5">
      <t>ウンドウジョウ</t>
    </rPh>
    <phoneticPr fontId="5"/>
  </si>
  <si>
    <t>大町市八坂8408</t>
    <rPh sb="0" eb="3">
      <t>オオマチシ</t>
    </rPh>
    <rPh sb="3" eb="4">
      <t>８</t>
    </rPh>
    <rPh sb="4" eb="5">
      <t>サカ</t>
    </rPh>
    <phoneticPr fontId="5"/>
  </si>
  <si>
    <t>S50年</t>
    <rPh sb="3" eb="4">
      <t>ネン</t>
    </rPh>
    <phoneticPr fontId="5"/>
  </si>
  <si>
    <t>野球（1面）、ソフトボール（2面）</t>
    <rPh sb="0" eb="2">
      <t>ヤキュウ</t>
    </rPh>
    <rPh sb="4" eb="5">
      <t>メン</t>
    </rPh>
    <rPh sb="15" eb="16">
      <t>メン</t>
    </rPh>
    <phoneticPr fontId="5"/>
  </si>
  <si>
    <t>八坂テニスコート</t>
    <rPh sb="0" eb="2">
      <t>ヤサカ</t>
    </rPh>
    <phoneticPr fontId="5"/>
  </si>
  <si>
    <t>クレーコート（2面）</t>
    <rPh sb="8" eb="9">
      <t>メン</t>
    </rPh>
    <phoneticPr fontId="5"/>
  </si>
  <si>
    <t>八坂山村広場</t>
    <rPh sb="0" eb="2">
      <t>ヤサカ</t>
    </rPh>
    <rPh sb="2" eb="4">
      <t>サンソン</t>
    </rPh>
    <rPh sb="4" eb="6">
      <t>ヒロバ</t>
    </rPh>
    <phoneticPr fontId="5"/>
  </si>
  <si>
    <t>大町市八坂14850-120</t>
    <rPh sb="0" eb="3">
      <t>オオマチシ</t>
    </rPh>
    <rPh sb="3" eb="4">
      <t>８</t>
    </rPh>
    <rPh sb="4" eb="5">
      <t>サカ</t>
    </rPh>
    <phoneticPr fontId="5"/>
  </si>
  <si>
    <t>S60年</t>
    <rPh sb="3" eb="4">
      <t>ネン</t>
    </rPh>
    <phoneticPr fontId="5"/>
  </si>
  <si>
    <t>ソフトボール（１面）</t>
    <rPh sb="8" eb="9">
      <t>メン</t>
    </rPh>
    <phoneticPr fontId="5"/>
  </si>
  <si>
    <t>八坂ゲートボール場</t>
    <rPh sb="0" eb="2">
      <t>ヤサカ</t>
    </rPh>
    <rPh sb="8" eb="9">
      <t>ジョウ</t>
    </rPh>
    <phoneticPr fontId="5"/>
  </si>
  <si>
    <t>大町市八坂14850-69</t>
    <rPh sb="0" eb="3">
      <t>オオマチシ</t>
    </rPh>
    <rPh sb="3" eb="4">
      <t>８</t>
    </rPh>
    <rPh sb="4" eb="5">
      <t>サカ</t>
    </rPh>
    <phoneticPr fontId="5"/>
  </si>
  <si>
    <t>H 5年</t>
    <rPh sb="3" eb="4">
      <t>ネン</t>
    </rPh>
    <phoneticPr fontId="5"/>
  </si>
  <si>
    <t>ゲートボール（１面）</t>
    <rPh sb="8" eb="9">
      <t>メン</t>
    </rPh>
    <phoneticPr fontId="5"/>
  </si>
  <si>
    <t>八坂マレットゴルフ場</t>
    <rPh sb="0" eb="2">
      <t>ヤサカ</t>
    </rPh>
    <rPh sb="9" eb="10">
      <t>ジョウ</t>
    </rPh>
    <phoneticPr fontId="5"/>
  </si>
  <si>
    <t>大町市八坂8411-2</t>
    <rPh sb="0" eb="3">
      <t>オオマチシ</t>
    </rPh>
    <rPh sb="3" eb="4">
      <t>８</t>
    </rPh>
    <rPh sb="4" eb="5">
      <t>サカ</t>
    </rPh>
    <phoneticPr fontId="5"/>
  </si>
  <si>
    <t>H 7年</t>
    <rPh sb="3" eb="4">
      <t>ネン</t>
    </rPh>
    <phoneticPr fontId="5"/>
  </si>
  <si>
    <t>１８Ｈ</t>
    <phoneticPr fontId="5"/>
  </si>
  <si>
    <t>美麻トレーニングセンター</t>
    <rPh sb="0" eb="2">
      <t>ミアサ</t>
    </rPh>
    <phoneticPr fontId="5"/>
  </si>
  <si>
    <t>大町市美麻11712</t>
    <rPh sb="0" eb="3">
      <t>オオマチシ</t>
    </rPh>
    <rPh sb="3" eb="5">
      <t>ミアサ</t>
    </rPh>
    <phoneticPr fontId="5"/>
  </si>
  <si>
    <t>バドミントン（3面）、バレーボール（1面）、バスケットボール（1面）</t>
    <rPh sb="8" eb="9">
      <t>メン</t>
    </rPh>
    <rPh sb="19" eb="20">
      <t>メン</t>
    </rPh>
    <rPh sb="32" eb="33">
      <t>メン</t>
    </rPh>
    <phoneticPr fontId="5"/>
  </si>
  <si>
    <t>美麻運動場</t>
    <rPh sb="0" eb="2">
      <t>ミアサ</t>
    </rPh>
    <rPh sb="2" eb="5">
      <t>ウンドウジョウ</t>
    </rPh>
    <phoneticPr fontId="5"/>
  </si>
  <si>
    <t>大町市美麻14245</t>
    <rPh sb="0" eb="3">
      <t>オオマチシ</t>
    </rPh>
    <rPh sb="3" eb="5">
      <t>ミアサ</t>
    </rPh>
    <phoneticPr fontId="5"/>
  </si>
  <si>
    <t>S48年</t>
    <rPh sb="3" eb="4">
      <t>ネン</t>
    </rPh>
    <phoneticPr fontId="5"/>
  </si>
  <si>
    <t>野球（2面）、ソフトボール（2面）</t>
    <rPh sb="0" eb="2">
      <t>ヤキュウ</t>
    </rPh>
    <rPh sb="4" eb="5">
      <t>メン</t>
    </rPh>
    <rPh sb="15" eb="16">
      <t>メン</t>
    </rPh>
    <phoneticPr fontId="5"/>
  </si>
  <si>
    <t>美麻丸山公園運動場</t>
    <rPh sb="0" eb="2">
      <t>ミアサ</t>
    </rPh>
    <rPh sb="2" eb="3">
      <t>マル</t>
    </rPh>
    <rPh sb="3" eb="4">
      <t>ヤマ</t>
    </rPh>
    <rPh sb="4" eb="6">
      <t>コウエン</t>
    </rPh>
    <rPh sb="6" eb="9">
      <t>ウンドウジョウ</t>
    </rPh>
    <phoneticPr fontId="5"/>
  </si>
  <si>
    <t>大町市美麻13713-2</t>
    <rPh sb="0" eb="3">
      <t>オオマチシ</t>
    </rPh>
    <rPh sb="3" eb="5">
      <t>ミアサ</t>
    </rPh>
    <phoneticPr fontId="5"/>
  </si>
  <si>
    <t>H 4年</t>
    <rPh sb="3" eb="4">
      <t>ネン</t>
    </rPh>
    <phoneticPr fontId="5"/>
  </si>
  <si>
    <t>野球（2面）、ソフトボール（2面）、サッカー（1面）、ラグビー（1面）</t>
    <rPh sb="0" eb="2">
      <t>ヤキュウ</t>
    </rPh>
    <rPh sb="4" eb="5">
      <t>メン</t>
    </rPh>
    <rPh sb="15" eb="16">
      <t>メン</t>
    </rPh>
    <rPh sb="24" eb="25">
      <t>メン</t>
    </rPh>
    <rPh sb="33" eb="34">
      <t>メン</t>
    </rPh>
    <phoneticPr fontId="5"/>
  </si>
  <si>
    <t>美麻テニスコート</t>
    <rPh sb="0" eb="2">
      <t>ミアサ</t>
    </rPh>
    <phoneticPr fontId="5"/>
  </si>
  <si>
    <t>大町市美麻14250</t>
    <rPh sb="0" eb="3">
      <t>オオマチシ</t>
    </rPh>
    <rPh sb="3" eb="5">
      <t>ミアサ</t>
    </rPh>
    <phoneticPr fontId="5"/>
  </si>
  <si>
    <t>H 3年</t>
    <rPh sb="3" eb="4">
      <t>ネン</t>
    </rPh>
    <phoneticPr fontId="5"/>
  </si>
  <si>
    <t>人工芝（6面）</t>
    <rPh sb="0" eb="2">
      <t>ジンコウ</t>
    </rPh>
    <rPh sb="2" eb="3">
      <t>シバ</t>
    </rPh>
    <rPh sb="5" eb="6">
      <t>メン</t>
    </rPh>
    <phoneticPr fontId="5"/>
  </si>
  <si>
    <t>美麻二重屋内ゲートボール場</t>
    <rPh sb="0" eb="2">
      <t>ミアサ</t>
    </rPh>
    <rPh sb="2" eb="4">
      <t>フタエ</t>
    </rPh>
    <rPh sb="4" eb="6">
      <t>オクナイ</t>
    </rPh>
    <rPh sb="12" eb="13">
      <t>ジョウ</t>
    </rPh>
    <phoneticPr fontId="5"/>
  </si>
  <si>
    <t>大町市美麻8409</t>
    <rPh sb="0" eb="3">
      <t>オオマチシ</t>
    </rPh>
    <rPh sb="3" eb="5">
      <t>ミアサ</t>
    </rPh>
    <phoneticPr fontId="5"/>
  </si>
  <si>
    <t>１面</t>
    <rPh sb="1" eb="2">
      <t>メン</t>
    </rPh>
    <phoneticPr fontId="5"/>
  </si>
  <si>
    <t>美麻二重屋外ゲートボール場</t>
    <rPh sb="0" eb="2">
      <t>ミアサ</t>
    </rPh>
    <rPh sb="2" eb="4">
      <t>フタエ</t>
    </rPh>
    <rPh sb="4" eb="5">
      <t>ヤ</t>
    </rPh>
    <rPh sb="5" eb="6">
      <t>ガイ</t>
    </rPh>
    <rPh sb="12" eb="13">
      <t>ジョウ</t>
    </rPh>
    <phoneticPr fontId="5"/>
  </si>
  <si>
    <t>大町市美麻9595-ｲ</t>
    <rPh sb="0" eb="3">
      <t>オオマチシ</t>
    </rPh>
    <rPh sb="3" eb="5">
      <t>ミアサ</t>
    </rPh>
    <phoneticPr fontId="5"/>
  </si>
  <si>
    <t>美麻大塩ゲートボール場</t>
    <rPh sb="0" eb="2">
      <t>ミアサ</t>
    </rPh>
    <rPh sb="2" eb="4">
      <t>オオシオ</t>
    </rPh>
    <rPh sb="10" eb="11">
      <t>ジョウ</t>
    </rPh>
    <phoneticPr fontId="5"/>
  </si>
  <si>
    <t>大町市美麻3476-ﾛ-1</t>
    <rPh sb="0" eb="3">
      <t>オオマチシ</t>
    </rPh>
    <rPh sb="3" eb="5">
      <t>ミアサ</t>
    </rPh>
    <phoneticPr fontId="5"/>
  </si>
  <si>
    <t>屋内（1面）、屋外（1面）</t>
    <rPh sb="0" eb="2">
      <t>オクナイ</t>
    </rPh>
    <rPh sb="4" eb="5">
      <t>メン</t>
    </rPh>
    <rPh sb="7" eb="9">
      <t>オクガイ</t>
    </rPh>
    <rPh sb="11" eb="12">
      <t>メン</t>
    </rPh>
    <phoneticPr fontId="5"/>
  </si>
  <si>
    <t>美麻千見ゲートボール場</t>
    <rPh sb="0" eb="2">
      <t>ミアサ</t>
    </rPh>
    <rPh sb="2" eb="3">
      <t>セン</t>
    </rPh>
    <rPh sb="3" eb="4">
      <t>ミ</t>
    </rPh>
    <rPh sb="10" eb="11">
      <t>ジョウ</t>
    </rPh>
    <phoneticPr fontId="5"/>
  </si>
  <si>
    <t>大町市美麻28750-1</t>
    <rPh sb="0" eb="3">
      <t>オオマチシ</t>
    </rPh>
    <rPh sb="3" eb="5">
      <t>ミアサ</t>
    </rPh>
    <phoneticPr fontId="5"/>
  </si>
  <si>
    <t>2面</t>
    <rPh sb="1" eb="2">
      <t>メン</t>
    </rPh>
    <phoneticPr fontId="5"/>
  </si>
  <si>
    <t>山岳文化都市宣言</t>
    <phoneticPr fontId="5"/>
  </si>
  <si>
    <t>大町市</t>
    <phoneticPr fontId="4"/>
  </si>
  <si>
    <t>　私たちの大町市は、雄大な北アルプスのパノラマを代表とする、四季折々の変化に富んだ豊かで美しい大自然に恵まれています。
北アルプスの山麓で生まれ、育ってきた市民は、その長い歴史を通じて、山岳がもたらす豊かな自然環境の恵みを受けながら、自然と人とが共生する独自の山岳文化を形成してきました。
　私たちは、先人たちが守り育ててきた山岳文化を受け継ぎ、かけがえのない豊かで美しい自然を次の世代に伝えていかなければなりません。
21世紀を迎えた今日、身近な生活環境の改善から地球環境の保全まで、様々な環境問題への取り組みが重視される中で、本市においても、市民、事業者、行政等が協働と連携を図りながら、新しい時代の課題や要求に応える山岳文化の振興が求められています。
　本市における山岳文化の拠点である山岳博物館開館50周年の節目にあたり、山岳博物館創設当時の理念に学びながら、「環境の世紀」と言われる21世紀にふさわしい山岳文化の発展と創造をめざして、大町市を自然と人とが共生する「山岳文化都市」とすることを宣言します。</t>
    <phoneticPr fontId="4"/>
  </si>
  <si>
    <t>厳しい風雪に耐えて、たくましく、心優しく生きる市民です</t>
    <phoneticPr fontId="4"/>
  </si>
  <si>
    <t>（大町市民憲章第一章）</t>
    <phoneticPr fontId="4"/>
  </si>
  <si>
    <t>市の木／オオヤマザクラ</t>
    <phoneticPr fontId="4"/>
  </si>
  <si>
    <t>市の花／カタクリ</t>
    <phoneticPr fontId="4"/>
  </si>
  <si>
    <t>市の獣／カモシカ</t>
    <phoneticPr fontId="4"/>
  </si>
  <si>
    <t>市の鳥／ライチョウ</t>
    <phoneticPr fontId="4"/>
  </si>
  <si>
    <t>総合／木、花、獣、鳥</t>
    <phoneticPr fontId="4"/>
  </si>
  <si>
    <t>四つのシンポルを総合したもの。市の顔ともいえる美しい自然環境に生息する多くの動植物の中から、北アルプス一番街・大町に最もふさわしい、自然の麗しさ、優しさ、たくましさ、愛らしさのシンボルを選んだもので、「心の豊かさを誇れるまち」にしたいとの願いも込められている。</t>
    <phoneticPr fontId="4"/>
  </si>
  <si>
    <r>
      <t xml:space="preserve">数ある桜のなかでも北方に分布し、中部地方では、標高800メートル以上の高地に多く、大町市以南では群落は見られない。ほかの桜が短命で、春を告げた後、早々と散ってしまうのに比べ、オオヤマザクラは、5月半ばを過ぎても、山里で素朴なピンクの花を誇らせている。
</t>
    </r>
    <r>
      <rPr>
        <b/>
        <sz val="14"/>
        <color theme="1"/>
        <rFont val="Yu Gothic"/>
        <family val="3"/>
        <charset val="128"/>
        <scheme val="minor"/>
      </rPr>
      <t>－　麗しさのシンボル　－</t>
    </r>
    <phoneticPr fontId="4"/>
  </si>
  <si>
    <r>
      <t xml:space="preserve">ユリ科の植物で、万葉時代から‶カタカゴ″の名で知られている。田畑の残雪が消え終らない3月末ころに、芽を出し美しい紫色の花を咲かせる。この花には、‶初恋″という花言葉がつけられていて、山林の中でひそやかに花開く、その初々しい姿には、だれもが、なる程とうなずける。
</t>
    </r>
    <r>
      <rPr>
        <b/>
        <sz val="14"/>
        <color theme="1"/>
        <rFont val="Yu Gothic"/>
        <family val="3"/>
        <charset val="128"/>
        <scheme val="minor"/>
      </rPr>
      <t>－　優しさのシンボル　－</t>
    </r>
    <rPh sb="133" eb="134">
      <t>ヤサ</t>
    </rPh>
    <phoneticPr fontId="4"/>
  </si>
  <si>
    <r>
      <t xml:space="preserve">国の特別天然記念物に指定されている珍獣で、名前に‶シカ″とつけられているが、実はウシの仲間である。角は雄にも雌にもあり、抜け替わることはない。ふたつに分かれた爪を利用して上手に険しい所を歩くことができ、岩の上などにじっと立っている習性がある。
</t>
    </r>
    <r>
      <rPr>
        <b/>
        <sz val="14"/>
        <color theme="1"/>
        <rFont val="Yu Gothic"/>
        <family val="3"/>
        <charset val="128"/>
        <scheme val="minor"/>
      </rPr>
      <t>－　たくましさのシンボル　－</t>
    </r>
    <phoneticPr fontId="4"/>
  </si>
  <si>
    <r>
      <t xml:space="preserve">日本アルプスの中で、2,000メートル以上の高山にのみ生息し、国の特別天然記念物に指定されている。‶ゴロゴロ″と鳴くことから、‶雷鳥″と名づけられた。キジやヤマドリと同じ仲間なので、飛翔はあまり得意でなく、天敵から身を守るために、夏の雄は黒褐色、雌は茶褐色、冬は純白とみごとに衣がえする。
</t>
    </r>
    <r>
      <rPr>
        <b/>
        <sz val="14"/>
        <color theme="1"/>
        <rFont val="Yu Gothic"/>
        <family val="3"/>
        <charset val="128"/>
        <scheme val="minor"/>
      </rPr>
      <t>－　愛らしさのシンボル　－</t>
    </r>
    <phoneticPr fontId="4"/>
  </si>
  <si>
    <t>利　用　者　の　た　め　に</t>
    <phoneticPr fontId="4"/>
  </si>
  <si>
    <t>１　本書は原則として、大町市の全般的な基本資料を掲載しています。</t>
    <phoneticPr fontId="4"/>
  </si>
  <si>
    <t>３　新大町市誕生（平成１８年１月１日）前の数値については、合併前の大町市、旧八坂村、旧美麻村の合算値を表示しています。なお、合算できない統計表については、旧市村単位または、合併前の大町市の数値を表示しています。</t>
    <phoneticPr fontId="4"/>
  </si>
  <si>
    <t>４　資料は各官公庁・民間事業所及び庁内各部課等からの提供によるものと、企画財政課において直接調査収集したもので、その出所は各表脚注に掲げてあります。</t>
    <phoneticPr fontId="4"/>
  </si>
  <si>
    <t>６　数字の単位未満は、四捨五入してありますので、総数欄の数字と内訳の計は必ずしも一致しません。また、すでに公表されている数値と相違するものは、編集の際に訂正したものです。</t>
    <phoneticPr fontId="4"/>
  </si>
  <si>
    <t>５　調査の時期については、特に注記しないかぎり次のとおりです。
　「年」「年次」・・・・・・・・・暦　　年（１月～１２月）
　「年　　　度」・・・・・・・・・会計年度（４月～翌年３月）
　「年・月・日」・・・・・・・・・調査年月日</t>
    <phoneticPr fontId="4"/>
  </si>
  <si>
    <t>７　統計中の符号は次のとおりです。
　「－」　事実のないもの
　「…」　不詳または調査を欠くもの
　「０」　掲載単位に満たぬもの
　「△」　マイナスまたは赤字のもの
　「Ｘ」　調査対象が少なく秘密保護のため伏字としたもの</t>
    <phoneticPr fontId="4"/>
  </si>
  <si>
    <t>２　本書は原則として、最新の資料を収録します。ただし、資料の有無、性質、及び編集の都合により、異なるものもあります。</t>
    <phoneticPr fontId="4"/>
  </si>
  <si>
    <t>沿　　　　革</t>
    <phoneticPr fontId="4"/>
  </si>
  <si>
    <t>　平成１５年３月には、大町市、北安曇郡八坂村及び同郡美麻村の３市村で任意合併協議会を設置し、合併協議を進め、平成１６年２月には法定合併協議会に発展させ、平成１８年１月１日に合併特例法の適用を受け３市村の合併が実現した。</t>
    <phoneticPr fontId="4"/>
  </si>
  <si>
    <t>　この地方が、わが国の歴史の上に現われるようになったのは約９００年前、伊勢の皇太神宮御領としての仁科御厨が設定されてからである。早くからこの地方に定着していた仁科氏は、この御厨を預かって神宮への神役を果たしていたことから勢力を得、さらに進んで大町、平、常盤の開発にも力を用いてこれを皇室御領仁科庄とし、みずからはこれをも預かって支配するようになった。
　仁科氏は、社の館の内に居館し平地区の森城を固めていたのであるが、鎌倉時代後半から大町に居館を移して広く、南は安曇野市方面、北は糸魚川市方面にまで勢力を張るにいたった。この地方が仁科と呼ばれるようになったのは、このような歴史的事情があってのことである。仁科氏は早くから京都や伊勢と深いつながりをもっていた関係で、中央の進んだ文化をとり入れてこの地方の開発に意を注ぎ、仁科神明宮本殿及び中門（国宝）等のすぐれた文化財をのこしている。しかし今から約４００年前、戦国時代の終わり近くにいたって、武田信玄のためその家系を絶っている。信玄はその子盛信をつかわしてその名跡をつがせたが、天正９年高遠城に去ってからまもなく、松本城を回復した小笠原氏の勢力下に入ることになり、この地方の支配関係に一大変革をきたすことになったのである。</t>
    <phoneticPr fontId="4"/>
  </si>
  <si>
    <t>　その後江戸時代になってから、松本藩では北安曇地域に大町、池田、松川の３組を置いて治めていた。大町市域では、大町村、高根新田村及び平地区９カ村、社地区８カ村、八坂地区８カ村、美麻地区７カ村が大町組に、常盤地区５カ村が松川組に、社地区山ノ寺村が池田組に属していた。
　仁科氏が領有していた年時から、この地域は北方日本海岸の北陸道ぞいの糸魚川方面と、南方松本方面とを結ぶ千国道（後の糸魚川街道）が通じており、海産物をはじめ多くの物資が流通し、信州における経済的交通路の一つとして重視されていたのである。そして、それらの物資や付近から多く産出した麻類その他集散地であった大町は、宿駅的性格を基盤として商業都市として栄えるに至ったのである。
　明治維新後大町市域は、一時松本県に属したが明治４年筑摩県の成立するに及んでその管下に入り、同９年筑摩県が長野県の管下に移ることとなった。明治８年村々の合併の議が進み大町村と高根新田村が合併して大町村、社地区の９カ村を社村、平地区の９カ村を平村、常盤地区の５カ村を常盤村、八坂地区の８カ村を八坂村、美麻地区の７カ村を美麻村とした。同年２２年町村制が実施され、その後多少の推移を経て昭和２９年７月１日にいたって町村合併促進法により、１町３村の間に合併の議が成立し大町市が誕生した。</t>
    <phoneticPr fontId="4"/>
  </si>
  <si>
    <t>明治以降の合併系図</t>
    <rPh sb="0" eb="2">
      <t>メイジ</t>
    </rPh>
    <rPh sb="2" eb="4">
      <t>イコウ</t>
    </rPh>
    <rPh sb="5" eb="7">
      <t>ガッペイ</t>
    </rPh>
    <rPh sb="7" eb="9">
      <t>ケイズ</t>
    </rPh>
    <phoneticPr fontId="5"/>
  </si>
  <si>
    <t>大町村</t>
    <rPh sb="0" eb="1">
      <t>オオ</t>
    </rPh>
    <rPh sb="1" eb="3">
      <t>マチムラ</t>
    </rPh>
    <phoneticPr fontId="5"/>
  </si>
  <si>
    <t>大町</t>
    <rPh sb="0" eb="2">
      <t>オオマチ</t>
    </rPh>
    <phoneticPr fontId="5"/>
  </si>
  <si>
    <t>高根新田村</t>
    <rPh sb="0" eb="2">
      <t>タカネ</t>
    </rPh>
    <rPh sb="2" eb="4">
      <t>シンデン</t>
    </rPh>
    <rPh sb="4" eb="5">
      <t>ムラ</t>
    </rPh>
    <phoneticPr fontId="5"/>
  </si>
  <si>
    <t>明　　8.2.18</t>
    <rPh sb="0" eb="1">
      <t>メイ</t>
    </rPh>
    <phoneticPr fontId="5"/>
  </si>
  <si>
    <t>明　15.3.20</t>
    <rPh sb="0" eb="1">
      <t>メイ</t>
    </rPh>
    <phoneticPr fontId="5"/>
  </si>
  <si>
    <t>明　22.4.10</t>
    <rPh sb="0" eb="1">
      <t>メイ</t>
    </rPh>
    <phoneticPr fontId="5"/>
  </si>
  <si>
    <t>(名称変更)</t>
    <rPh sb="1" eb="3">
      <t>メイショウ</t>
    </rPh>
    <rPh sb="3" eb="5">
      <t>ヘンコウ</t>
    </rPh>
    <phoneticPr fontId="5"/>
  </si>
  <si>
    <t>(町制施行)</t>
    <rPh sb="1" eb="2">
      <t>マチ</t>
    </rPh>
    <rPh sb="2" eb="3">
      <t>セイ</t>
    </rPh>
    <rPh sb="3" eb="5">
      <t>シコウ</t>
    </rPh>
    <phoneticPr fontId="5"/>
  </si>
  <si>
    <t>野口村</t>
    <rPh sb="0" eb="2">
      <t>ノグチ</t>
    </rPh>
    <rPh sb="2" eb="3">
      <t>ムラ</t>
    </rPh>
    <phoneticPr fontId="5"/>
  </si>
  <si>
    <t>借馬村</t>
    <rPh sb="0" eb="1">
      <t>カ</t>
    </rPh>
    <rPh sb="1" eb="2">
      <t>ウマ</t>
    </rPh>
    <rPh sb="2" eb="3">
      <t>ムラ</t>
    </rPh>
    <phoneticPr fontId="5"/>
  </si>
  <si>
    <t>木崎村</t>
    <rPh sb="0" eb="2">
      <t>キザキ</t>
    </rPh>
    <rPh sb="2" eb="3">
      <t>ムラ</t>
    </rPh>
    <phoneticPr fontId="5"/>
  </si>
  <si>
    <t>森村</t>
    <rPh sb="0" eb="1">
      <t>モリ</t>
    </rPh>
    <rPh sb="1" eb="2">
      <t>ムラ</t>
    </rPh>
    <phoneticPr fontId="5"/>
  </si>
  <si>
    <t>平村</t>
    <rPh sb="0" eb="1">
      <t>タイラ</t>
    </rPh>
    <rPh sb="1" eb="2">
      <t>ムラ</t>
    </rPh>
    <phoneticPr fontId="5"/>
  </si>
  <si>
    <t>稲尾村</t>
    <rPh sb="0" eb="2">
      <t>イナオ</t>
    </rPh>
    <rPh sb="2" eb="3">
      <t>ムラ</t>
    </rPh>
    <phoneticPr fontId="5"/>
  </si>
  <si>
    <t>海之口村</t>
    <rPh sb="0" eb="1">
      <t>ウミ</t>
    </rPh>
    <rPh sb="1" eb="2">
      <t>ノ</t>
    </rPh>
    <rPh sb="2" eb="3">
      <t>クチ</t>
    </rPh>
    <rPh sb="3" eb="4">
      <t>ムラ</t>
    </rPh>
    <phoneticPr fontId="5"/>
  </si>
  <si>
    <t>中綱村</t>
    <rPh sb="0" eb="1">
      <t>ナカ</t>
    </rPh>
    <rPh sb="1" eb="2">
      <t>ツナ</t>
    </rPh>
    <rPh sb="2" eb="3">
      <t>ムラ</t>
    </rPh>
    <phoneticPr fontId="5"/>
  </si>
  <si>
    <t>青木村</t>
    <rPh sb="0" eb="2">
      <t>アオキ</t>
    </rPh>
    <rPh sb="2" eb="3">
      <t>ムラ</t>
    </rPh>
    <phoneticPr fontId="5"/>
  </si>
  <si>
    <t>加蔵新田村</t>
    <rPh sb="0" eb="1">
      <t>カ</t>
    </rPh>
    <rPh sb="1" eb="2">
      <t>クラ</t>
    </rPh>
    <rPh sb="2" eb="3">
      <t>シン</t>
    </rPh>
    <rPh sb="3" eb="5">
      <t>タムラ</t>
    </rPh>
    <phoneticPr fontId="5"/>
  </si>
  <si>
    <t>昭　29.7.1</t>
    <rPh sb="0" eb="1">
      <t>アキラ</t>
    </rPh>
    <phoneticPr fontId="5"/>
  </si>
  <si>
    <t>平　18.1.1</t>
    <rPh sb="0" eb="1">
      <t>タイラ</t>
    </rPh>
    <phoneticPr fontId="5"/>
  </si>
  <si>
    <t>上一本木村</t>
    <rPh sb="0" eb="1">
      <t>ウエ</t>
    </rPh>
    <rPh sb="1" eb="3">
      <t>イッポン</t>
    </rPh>
    <rPh sb="3" eb="4">
      <t>キ</t>
    </rPh>
    <rPh sb="4" eb="5">
      <t>ムラ</t>
    </rPh>
    <phoneticPr fontId="5"/>
  </si>
  <si>
    <t>下一本木村</t>
    <rPh sb="0" eb="1">
      <t>シタ</t>
    </rPh>
    <rPh sb="1" eb="3">
      <t>イッポン</t>
    </rPh>
    <rPh sb="3" eb="4">
      <t>キ</t>
    </rPh>
    <rPh sb="4" eb="5">
      <t>ムラ</t>
    </rPh>
    <phoneticPr fontId="5"/>
  </si>
  <si>
    <t>常盤村</t>
    <rPh sb="0" eb="2">
      <t>トキワ</t>
    </rPh>
    <rPh sb="2" eb="3">
      <t>ムラ</t>
    </rPh>
    <phoneticPr fontId="5"/>
  </si>
  <si>
    <t>清水村</t>
    <rPh sb="0" eb="2">
      <t>シミズ</t>
    </rPh>
    <rPh sb="2" eb="3">
      <t>ムラ</t>
    </rPh>
    <phoneticPr fontId="5"/>
  </si>
  <si>
    <t>明　　7.10.25</t>
    <rPh sb="0" eb="1">
      <t>メイ</t>
    </rPh>
    <phoneticPr fontId="5"/>
  </si>
  <si>
    <t>西山村</t>
    <rPh sb="0" eb="2">
      <t>ニシヤマ</t>
    </rPh>
    <rPh sb="2" eb="3">
      <t>ムラ</t>
    </rPh>
    <phoneticPr fontId="5"/>
  </si>
  <si>
    <t>須沼村</t>
    <rPh sb="0" eb="1">
      <t>ス</t>
    </rPh>
    <rPh sb="1" eb="2">
      <t>ヌマ</t>
    </rPh>
    <rPh sb="2" eb="3">
      <t>ムラ</t>
    </rPh>
    <phoneticPr fontId="5"/>
  </si>
  <si>
    <t>山之寺村</t>
    <rPh sb="0" eb="1">
      <t>ヤマ</t>
    </rPh>
    <rPh sb="1" eb="2">
      <t>ノ</t>
    </rPh>
    <rPh sb="2" eb="3">
      <t>テラ</t>
    </rPh>
    <rPh sb="3" eb="4">
      <t>ムラ</t>
    </rPh>
    <phoneticPr fontId="5"/>
  </si>
  <si>
    <t>宮本村</t>
    <rPh sb="0" eb="2">
      <t>ミヤモト</t>
    </rPh>
    <rPh sb="2" eb="3">
      <t>ムラ</t>
    </rPh>
    <phoneticPr fontId="5"/>
  </si>
  <si>
    <t>曽根原村</t>
    <rPh sb="0" eb="3">
      <t>ソネハラ</t>
    </rPh>
    <rPh sb="3" eb="4">
      <t>ムラ</t>
    </rPh>
    <phoneticPr fontId="5"/>
  </si>
  <si>
    <t>閏田村</t>
    <rPh sb="0" eb="1">
      <t>ウルウ</t>
    </rPh>
    <rPh sb="1" eb="2">
      <t>タ</t>
    </rPh>
    <rPh sb="2" eb="3">
      <t>ムラ</t>
    </rPh>
    <phoneticPr fontId="5"/>
  </si>
  <si>
    <t>社村</t>
    <rPh sb="0" eb="1">
      <t>ヤシロ</t>
    </rPh>
    <rPh sb="1" eb="2">
      <t>ムラ</t>
    </rPh>
    <phoneticPr fontId="5"/>
  </si>
  <si>
    <t>丹生子村</t>
    <rPh sb="0" eb="3">
      <t>ニウコ</t>
    </rPh>
    <rPh sb="3" eb="4">
      <t>ムラ</t>
    </rPh>
    <phoneticPr fontId="5"/>
  </si>
  <si>
    <t>木船村</t>
    <rPh sb="0" eb="2">
      <t>キフネ</t>
    </rPh>
    <rPh sb="2" eb="3">
      <t>ムラ</t>
    </rPh>
    <phoneticPr fontId="5"/>
  </si>
  <si>
    <t>館之内村</t>
    <rPh sb="0" eb="1">
      <t>カン</t>
    </rPh>
    <rPh sb="1" eb="2">
      <t>ノ</t>
    </rPh>
    <rPh sb="2" eb="3">
      <t>ウチ</t>
    </rPh>
    <rPh sb="3" eb="4">
      <t>ムラ</t>
    </rPh>
    <phoneticPr fontId="5"/>
  </si>
  <si>
    <t>常光寺村</t>
    <rPh sb="0" eb="1">
      <t>ツネ</t>
    </rPh>
    <rPh sb="1" eb="2">
      <t>ヒカリ</t>
    </rPh>
    <rPh sb="2" eb="3">
      <t>テラ</t>
    </rPh>
    <rPh sb="3" eb="4">
      <t>ムラ</t>
    </rPh>
    <phoneticPr fontId="5"/>
  </si>
  <si>
    <t>松崎村</t>
    <rPh sb="0" eb="2">
      <t>マツサキ</t>
    </rPh>
    <rPh sb="2" eb="3">
      <t>ムラ</t>
    </rPh>
    <phoneticPr fontId="5"/>
  </si>
  <si>
    <t>相川新田村</t>
    <rPh sb="0" eb="2">
      <t>アイカワ</t>
    </rPh>
    <rPh sb="2" eb="4">
      <t>シンデン</t>
    </rPh>
    <rPh sb="4" eb="5">
      <t>ムラ</t>
    </rPh>
    <phoneticPr fontId="5"/>
  </si>
  <si>
    <t>大平村</t>
    <rPh sb="0" eb="2">
      <t>オオダイラ</t>
    </rPh>
    <rPh sb="2" eb="3">
      <t>ムラ</t>
    </rPh>
    <phoneticPr fontId="5"/>
  </si>
  <si>
    <t>切久保新田村</t>
    <rPh sb="0" eb="1">
      <t>キ</t>
    </rPh>
    <rPh sb="1" eb="3">
      <t>クボ</t>
    </rPh>
    <rPh sb="3" eb="5">
      <t>シンデン</t>
    </rPh>
    <rPh sb="5" eb="6">
      <t>ムラ</t>
    </rPh>
    <phoneticPr fontId="5"/>
  </si>
  <si>
    <t>大塚新田村</t>
    <rPh sb="0" eb="1">
      <t>ダイ</t>
    </rPh>
    <rPh sb="1" eb="2">
      <t>ヅカ</t>
    </rPh>
    <rPh sb="2" eb="4">
      <t>シンデン</t>
    </rPh>
    <rPh sb="4" eb="5">
      <t>ムラ</t>
    </rPh>
    <phoneticPr fontId="5"/>
  </si>
  <si>
    <t>野平新田村</t>
    <rPh sb="0" eb="1">
      <t>ノ</t>
    </rPh>
    <rPh sb="1" eb="2">
      <t>タイラ</t>
    </rPh>
    <rPh sb="2" eb="4">
      <t>シンデン</t>
    </rPh>
    <rPh sb="4" eb="5">
      <t>ムラ</t>
    </rPh>
    <phoneticPr fontId="5"/>
  </si>
  <si>
    <t>広津村の一部(菖蒲地区) を編入
　昭32.3.31
左右地区を信州新町へ分村　
　昭　34.4.1</t>
    <rPh sb="0" eb="2">
      <t>ヒロツ</t>
    </rPh>
    <rPh sb="2" eb="3">
      <t>ムラ</t>
    </rPh>
    <rPh sb="4" eb="6">
      <t>イチブ</t>
    </rPh>
    <rPh sb="7" eb="9">
      <t>ショウブ</t>
    </rPh>
    <rPh sb="9" eb="11">
      <t>チク</t>
    </rPh>
    <rPh sb="14" eb="16">
      <t>ヘンニュウ</t>
    </rPh>
    <rPh sb="18" eb="19">
      <t>アキラ</t>
    </rPh>
    <rPh sb="27" eb="28">
      <t>ヒダリ</t>
    </rPh>
    <rPh sb="28" eb="29">
      <t>ミギ</t>
    </rPh>
    <rPh sb="29" eb="31">
      <t>チク</t>
    </rPh>
    <rPh sb="32" eb="34">
      <t>シンシュウ</t>
    </rPh>
    <rPh sb="34" eb="36">
      <t>シンマチ</t>
    </rPh>
    <rPh sb="37" eb="38">
      <t>ブン</t>
    </rPh>
    <rPh sb="38" eb="39">
      <t>ムラ</t>
    </rPh>
    <rPh sb="42" eb="43">
      <t>アキラ</t>
    </rPh>
    <phoneticPr fontId="5"/>
  </si>
  <si>
    <t>舟場村</t>
    <rPh sb="0" eb="1">
      <t>フネ</t>
    </rPh>
    <rPh sb="1" eb="2">
      <t>バ</t>
    </rPh>
    <rPh sb="2" eb="3">
      <t>ムラ</t>
    </rPh>
    <phoneticPr fontId="5"/>
  </si>
  <si>
    <t>左右村</t>
    <rPh sb="0" eb="1">
      <t>ヒダリ</t>
    </rPh>
    <rPh sb="1" eb="2">
      <t>ミギ</t>
    </rPh>
    <rPh sb="2" eb="3">
      <t>ムラ</t>
    </rPh>
    <phoneticPr fontId="5"/>
  </si>
  <si>
    <t>槍平新田村</t>
    <rPh sb="0" eb="1">
      <t>ヤリ</t>
    </rPh>
    <rPh sb="1" eb="2">
      <t>ダイラ</t>
    </rPh>
    <rPh sb="2" eb="4">
      <t>シンデン</t>
    </rPh>
    <rPh sb="4" eb="5">
      <t>ムラ</t>
    </rPh>
    <phoneticPr fontId="5"/>
  </si>
  <si>
    <t>丹生子枝郷</t>
    <rPh sb="0" eb="3">
      <t>ニウコ</t>
    </rPh>
    <rPh sb="3" eb="5">
      <t>エダゴウ</t>
    </rPh>
    <phoneticPr fontId="5"/>
  </si>
  <si>
    <t>菅之窪</t>
    <rPh sb="0" eb="1">
      <t>スゲ</t>
    </rPh>
    <rPh sb="1" eb="2">
      <t>ノ</t>
    </rPh>
    <rPh sb="2" eb="3">
      <t>クボ</t>
    </rPh>
    <phoneticPr fontId="5"/>
  </si>
  <si>
    <t>大塩村</t>
    <rPh sb="0" eb="2">
      <t>オオシオ</t>
    </rPh>
    <rPh sb="2" eb="3">
      <t>ムラ</t>
    </rPh>
    <phoneticPr fontId="5"/>
  </si>
  <si>
    <t>二重村</t>
    <rPh sb="0" eb="2">
      <t>フタエ</t>
    </rPh>
    <rPh sb="2" eb="3">
      <t>ムラ</t>
    </rPh>
    <phoneticPr fontId="5"/>
  </si>
  <si>
    <t>高地村</t>
    <rPh sb="0" eb="2">
      <t>コウチ</t>
    </rPh>
    <rPh sb="2" eb="3">
      <t>ムラ</t>
    </rPh>
    <phoneticPr fontId="5"/>
  </si>
  <si>
    <t>美麻村</t>
    <rPh sb="0" eb="2">
      <t>ミアサ</t>
    </rPh>
    <rPh sb="2" eb="3">
      <t>ムラ</t>
    </rPh>
    <phoneticPr fontId="5"/>
  </si>
  <si>
    <t>千見村</t>
    <rPh sb="0" eb="1">
      <t>セン</t>
    </rPh>
    <rPh sb="1" eb="2">
      <t>ミ</t>
    </rPh>
    <rPh sb="2" eb="3">
      <t>ムラ</t>
    </rPh>
    <phoneticPr fontId="5"/>
  </si>
  <si>
    <t>明　　8.2.5</t>
    <rPh sb="0" eb="1">
      <t>メイ</t>
    </rPh>
    <phoneticPr fontId="5"/>
  </si>
  <si>
    <t>青具村</t>
    <rPh sb="0" eb="1">
      <t>アオ</t>
    </rPh>
    <rPh sb="1" eb="2">
      <t>グ</t>
    </rPh>
    <rPh sb="2" eb="3">
      <t>ムラ</t>
    </rPh>
    <phoneticPr fontId="5"/>
  </si>
  <si>
    <t>新行新田村</t>
    <rPh sb="0" eb="1">
      <t>アタラ</t>
    </rPh>
    <rPh sb="1" eb="2">
      <t>イ</t>
    </rPh>
    <rPh sb="2" eb="4">
      <t>シンデン</t>
    </rPh>
    <rPh sb="4" eb="5">
      <t>ムラ</t>
    </rPh>
    <phoneticPr fontId="5"/>
  </si>
  <si>
    <t>切明新田村</t>
    <rPh sb="0" eb="1">
      <t>キ</t>
    </rPh>
    <rPh sb="1" eb="2">
      <t>ア</t>
    </rPh>
    <rPh sb="2" eb="4">
      <t>シンデン</t>
    </rPh>
    <rPh sb="4" eb="5">
      <t>ムラ</t>
    </rPh>
    <phoneticPr fontId="5"/>
  </si>
  <si>
    <t>.</t>
    <phoneticPr fontId="5"/>
  </si>
  <si>
    <t>.</t>
  </si>
  <si>
    <t>大町市統計要覧</t>
    <phoneticPr fontId="4"/>
  </si>
  <si>
    <t>２０２３</t>
    <phoneticPr fontId="4"/>
  </si>
  <si>
    <t>令 和 ５ 年 版</t>
    <phoneticPr fontId="4"/>
  </si>
  <si>
    <t>注)1.産業大分類は、令和2年国勢調査による。</t>
    <rPh sb="11" eb="13">
      <t>レイワ</t>
    </rPh>
    <phoneticPr fontId="5"/>
  </si>
  <si>
    <t>内部
（心臓・
腎臓・
呼吸器・免疫
・小腸・肝臓）</t>
    <rPh sb="0" eb="2">
      <t>ナイブ</t>
    </rPh>
    <rPh sb="4" eb="5">
      <t>ココロ</t>
    </rPh>
    <rPh sb="5" eb="6">
      <t>ゾウ</t>
    </rPh>
    <rPh sb="12" eb="15">
      <t>コキュウキ</t>
    </rPh>
    <rPh sb="13" eb="16">
      <t>コキュウキ</t>
    </rPh>
    <rPh sb="20" eb="22">
      <t>ショウチョウ</t>
    </rPh>
    <rPh sb="21" eb="23">
      <t>ショウチョウ</t>
    </rPh>
    <rPh sb="24" eb="26">
      <t>カンゾウ</t>
    </rPh>
    <phoneticPr fontId="5"/>
  </si>
  <si>
    <t>87一般職業紹介の状況</t>
  </si>
  <si>
    <t>01表紙</t>
  </si>
  <si>
    <t>02目次</t>
  </si>
  <si>
    <t>04シンボルマーク</t>
  </si>
  <si>
    <t>05利用者のために</t>
  </si>
  <si>
    <t>07沿革</t>
  </si>
  <si>
    <t>08明治以降の合併系図</t>
  </si>
  <si>
    <t>10位置と面積</t>
  </si>
  <si>
    <t>11地目別面積</t>
  </si>
  <si>
    <t>12年次別気象概況</t>
  </si>
  <si>
    <t>13降雪積雪量</t>
  </si>
  <si>
    <t>14人口の推移</t>
  </si>
  <si>
    <t>16年齢３区分別人口の推移</t>
  </si>
  <si>
    <t>17地区別人口の推移</t>
  </si>
  <si>
    <t>18人口動態</t>
  </si>
  <si>
    <t>19出生率の推移</t>
  </si>
  <si>
    <t>20年齢（５歳階級）別人口構成</t>
  </si>
  <si>
    <t>21国籍別外国人登録者数</t>
  </si>
  <si>
    <t>22人口集中地区別人口・面積・人口密度ＤＩＤｓ</t>
  </si>
  <si>
    <t>23１５歳以上男女別労働力人口</t>
  </si>
  <si>
    <t>24産業分類別就業者数</t>
  </si>
  <si>
    <t>25産業別従業上の地位・男女別１５歳以上就業者数</t>
  </si>
  <si>
    <t>26職業分類別就業者数</t>
  </si>
  <si>
    <t>27世帯人員別一般世帯数及び一般世帯人員</t>
  </si>
  <si>
    <t>28世帯の家族類型別一般世帯数・一般世帯人員及び親族人員</t>
  </si>
  <si>
    <t>29高齢者の年齢（５区分）、男女別高齢単身者数</t>
  </si>
  <si>
    <t>30住居の種類・所有の関係別６５歳以上のいる一般世帯数・人員</t>
  </si>
  <si>
    <t>31常住人口・流入流出人口及び昼間人口</t>
  </si>
  <si>
    <t>32通勤者市町村別内訳（１５歳以上）</t>
  </si>
  <si>
    <t>33通学者市町村別内訳（１５歳以上）</t>
  </si>
  <si>
    <t>34議会の開催状況</t>
  </si>
  <si>
    <t>35市議会委員会の状況</t>
  </si>
  <si>
    <t>36市議会会派別議員数</t>
  </si>
  <si>
    <t>37年齢別議員数</t>
  </si>
  <si>
    <t>38選挙の執行状況</t>
  </si>
  <si>
    <t>39選挙人名簿登録者数等の推移</t>
  </si>
  <si>
    <t>40一般会計歳入歳出予算構成比</t>
  </si>
  <si>
    <t>41会計別決算の状況</t>
  </si>
  <si>
    <t>42市税の収入状況</t>
  </si>
  <si>
    <t>43歳入内容別決算状況</t>
  </si>
  <si>
    <t>44歳出内容別決算状況</t>
  </si>
  <si>
    <t>45目的別市債の状況</t>
  </si>
  <si>
    <t>46市税市民負担額の推移</t>
  </si>
  <si>
    <t>47地方交付税推移</t>
  </si>
  <si>
    <t>48市有財産</t>
  </si>
  <si>
    <t>49専業兼業別農家数と農家人口</t>
  </si>
  <si>
    <t>50販売農家における主副業別農家数</t>
  </si>
  <si>
    <t>52経営耕地面積の推移</t>
  </si>
  <si>
    <t>55販売農家における年齢別農家人口</t>
  </si>
  <si>
    <t>56販売農家における家畜の頭羽数</t>
  </si>
  <si>
    <t>58農地の移動状況</t>
  </si>
  <si>
    <t>59林野面積</t>
  </si>
  <si>
    <t>60事業所数・従業者数の推移</t>
  </si>
  <si>
    <t>61産業大分類別事業所数・産業大分類別従業者数</t>
  </si>
  <si>
    <t>62産業中分類別の製造品出荷額等の推移</t>
  </si>
  <si>
    <t>63年次別の工場数・従業者数・製造品出荷額等の推移</t>
  </si>
  <si>
    <t>65商業の推移</t>
  </si>
  <si>
    <t>66産業中分類別年間商品販売額の推移</t>
  </si>
  <si>
    <t>67学校総覧</t>
  </si>
  <si>
    <t>68幼稚園の状況</t>
  </si>
  <si>
    <t>69小学校の状況</t>
  </si>
  <si>
    <t>70中学校の状況・義務教育学校の状況</t>
  </si>
  <si>
    <t>71中学校進路別卒業者数</t>
  </si>
  <si>
    <t>72高等学校進路別卒業者</t>
  </si>
  <si>
    <t>73高等学校卒業者の職業分類別就職者数</t>
  </si>
  <si>
    <t>74高等学校卒業者の産業大分類別就職者数</t>
  </si>
  <si>
    <t>75高等学校卒業者の県内地区別就職者数</t>
  </si>
  <si>
    <t>79高等学校卒業者の都道府県別大学進学者数</t>
  </si>
  <si>
    <t>80奨学金貸与の状況</t>
  </si>
  <si>
    <t>81図書館貸出冊数の推移</t>
  </si>
  <si>
    <t>82図書館利用者数</t>
  </si>
  <si>
    <t>83図書館の蔵書と利用冊数</t>
  </si>
  <si>
    <t>84夏期大学講座の受講者数</t>
  </si>
  <si>
    <t>85山岳博物館の観覧状況</t>
  </si>
  <si>
    <t>86文化財</t>
  </si>
  <si>
    <t>88雇用保険失業給付の支給状況</t>
  </si>
  <si>
    <t>89附属施設の利用状況</t>
  </si>
  <si>
    <t>90業種別・主な事故の型別労働災害発生状況</t>
  </si>
  <si>
    <t>91保育施設</t>
  </si>
  <si>
    <t>92保育園の入園児童の推移</t>
  </si>
  <si>
    <t>93市民課窓口事務の処理状況</t>
  </si>
  <si>
    <t>94国民健康保険被保険者数ほか</t>
  </si>
  <si>
    <t>95福祉医療費特別給付金支給状況</t>
  </si>
  <si>
    <t>96高齢者福祉の状況</t>
  </si>
  <si>
    <t>97福祉施設の利用状況</t>
  </si>
  <si>
    <t>98障がい別身体障がい者数の推移</t>
  </si>
  <si>
    <t>99知的障がい者数の推移</t>
  </si>
  <si>
    <t>100生活保護費の推移</t>
  </si>
  <si>
    <t>101共同募金の状況</t>
  </si>
  <si>
    <t>102医療施設数・医療従事者数の推移</t>
  </si>
  <si>
    <t>103主な死因別死亡者数の推移</t>
  </si>
  <si>
    <t>104市立大町総合病院の利用状況</t>
  </si>
  <si>
    <t>105予防接種・検診等の状況</t>
  </si>
  <si>
    <t>106ごみ処理の状況</t>
  </si>
  <si>
    <t>107し尿処理の状況</t>
  </si>
  <si>
    <t>108狂犬病予防法による犬の登録及び注射状況</t>
  </si>
  <si>
    <t>109公害苦情処理件数</t>
  </si>
  <si>
    <t>110北アルプス広域葬祭場の利用状況</t>
  </si>
  <si>
    <t>111主要道路</t>
  </si>
  <si>
    <t>112橋梁数</t>
  </si>
  <si>
    <t>113主要河川</t>
  </si>
  <si>
    <t>114都市計画区域</t>
  </si>
  <si>
    <t>115地域地区</t>
  </si>
  <si>
    <t>116都市計画用途地域</t>
  </si>
  <si>
    <t>117都市計画区域内の用途地域の指定のない区域</t>
  </si>
  <si>
    <t>118建築確認申請の状況</t>
  </si>
  <si>
    <t>119都市施設</t>
  </si>
  <si>
    <t>120水道事業普及状況・公営簡易水道事業普及状況</t>
  </si>
  <si>
    <t>121水道事業配水量の推移・公営簡易水道事業配水量の推移</t>
  </si>
  <si>
    <t>122水道事業用途別栓数と給水量</t>
  </si>
  <si>
    <t>123水道事業水源施設状況・公営簡易水道事業水源施設状況</t>
  </si>
  <si>
    <t>124都市ガスの需要状況</t>
  </si>
  <si>
    <t>125信濃大町駅乗車人員の推移</t>
  </si>
  <si>
    <t>126有線放送の利用状況</t>
  </si>
  <si>
    <t>127自動車の保有台数</t>
  </si>
  <si>
    <t>128金融機関の預金・貸出残高状況</t>
  </si>
  <si>
    <t>129消費者物価指数</t>
  </si>
  <si>
    <t>130制度資金の利用状況</t>
  </si>
  <si>
    <t>131一人当たりの市民所得</t>
  </si>
  <si>
    <t>132産業別市町村内総生産</t>
  </si>
  <si>
    <t>133市町村民所得・可処分所得の分配</t>
  </si>
  <si>
    <t>134消防施設と人員</t>
  </si>
  <si>
    <t>135救急出動及び搬送状況</t>
  </si>
  <si>
    <t>136出火原因別の出火件数</t>
  </si>
  <si>
    <t>138山岳遭難事故の状況</t>
  </si>
  <si>
    <t>139交通違反</t>
  </si>
  <si>
    <t>140交通事故</t>
  </si>
  <si>
    <t>141刑法犯罪の発生件数と検挙件数</t>
  </si>
  <si>
    <t>142民事事件の推移</t>
  </si>
  <si>
    <t>143刑事事件の推移</t>
  </si>
  <si>
    <t>144家事事件の推移</t>
  </si>
  <si>
    <t>145観光客の入込数の推移</t>
  </si>
  <si>
    <t>146スキー場観光客の入込数の推移</t>
  </si>
  <si>
    <t>147観光地等の概要</t>
  </si>
  <si>
    <t>148北アルプスの紹介</t>
  </si>
  <si>
    <t>149大町の山岳標高一覧</t>
  </si>
  <si>
    <t>150大町市行政組織機構図</t>
  </si>
  <si>
    <t>153体育施設</t>
  </si>
  <si>
    <t>155山岳文化都市宣言</t>
  </si>
  <si>
    <t>会計別決算の状況</t>
    <rPh sb="0" eb="2">
      <t>カイケイ</t>
    </rPh>
    <rPh sb="2" eb="3">
      <t>ベツ</t>
    </rPh>
    <rPh sb="3" eb="5">
      <t>ケッサン</t>
    </rPh>
    <rPh sb="6" eb="8">
      <t>ジョウキョウ</t>
    </rPh>
    <phoneticPr fontId="5"/>
  </si>
  <si>
    <t>年  度</t>
    <rPh sb="0" eb="1">
      <t>ネン</t>
    </rPh>
    <rPh sb="3" eb="4">
      <t>ド</t>
    </rPh>
    <phoneticPr fontId="5"/>
  </si>
  <si>
    <t>一般会計・特別会計歳入</t>
    <rPh sb="0" eb="2">
      <t>イッパン</t>
    </rPh>
    <rPh sb="2" eb="4">
      <t>カイケイ</t>
    </rPh>
    <rPh sb="5" eb="7">
      <t>トクベツ</t>
    </rPh>
    <rPh sb="7" eb="9">
      <t>カイケイ</t>
    </rPh>
    <rPh sb="9" eb="11">
      <t>サイニュウ</t>
    </rPh>
    <phoneticPr fontId="5"/>
  </si>
  <si>
    <t>企業会計歳入（収益的収入）</t>
    <rPh sb="0" eb="2">
      <t>キギョウ</t>
    </rPh>
    <rPh sb="2" eb="4">
      <t>カイケイ</t>
    </rPh>
    <rPh sb="4" eb="6">
      <t>サイニュウ</t>
    </rPh>
    <rPh sb="7" eb="10">
      <t>シュウエキテキ</t>
    </rPh>
    <rPh sb="10" eb="12">
      <t>シュウニュウ</t>
    </rPh>
    <phoneticPr fontId="5"/>
  </si>
  <si>
    <t>一般会計</t>
    <rPh sb="0" eb="2">
      <t>イッパン</t>
    </rPh>
    <rPh sb="2" eb="4">
      <t>カイケイ</t>
    </rPh>
    <phoneticPr fontId="5"/>
  </si>
  <si>
    <t>国民健康
保　　険</t>
    <rPh sb="0" eb="1">
      <t>クニ</t>
    </rPh>
    <rPh sb="1" eb="2">
      <t>ミン</t>
    </rPh>
    <rPh sb="2" eb="4">
      <t>ケンコウ</t>
    </rPh>
    <rPh sb="5" eb="6">
      <t>タモツ</t>
    </rPh>
    <rPh sb="8" eb="9">
      <t>ケン</t>
    </rPh>
    <phoneticPr fontId="5"/>
  </si>
  <si>
    <t>後期高齢者医療</t>
    <rPh sb="0" eb="2">
      <t>コウキ</t>
    </rPh>
    <rPh sb="2" eb="4">
      <t>コウレイ</t>
    </rPh>
    <rPh sb="4" eb="5">
      <t>モノ</t>
    </rPh>
    <rPh sb="5" eb="6">
      <t>イ</t>
    </rPh>
    <rPh sb="6" eb="7">
      <t>イヤス</t>
    </rPh>
    <phoneticPr fontId="5"/>
  </si>
  <si>
    <t>公営簡易
水    道</t>
    <rPh sb="0" eb="1">
      <t>コウ</t>
    </rPh>
    <rPh sb="1" eb="2">
      <t>エイ</t>
    </rPh>
    <rPh sb="2" eb="3">
      <t>ケン</t>
    </rPh>
    <rPh sb="3" eb="4">
      <t>ヤス</t>
    </rPh>
    <rPh sb="5" eb="6">
      <t>ミズ</t>
    </rPh>
    <rPh sb="10" eb="11">
      <t>ミチ</t>
    </rPh>
    <phoneticPr fontId="5"/>
  </si>
  <si>
    <t>水道事業</t>
    <rPh sb="0" eb="2">
      <t>スイドウ</t>
    </rPh>
    <rPh sb="2" eb="4">
      <t>ジギョウ</t>
    </rPh>
    <phoneticPr fontId="5"/>
  </si>
  <si>
    <t>温泉引湯
事　　業</t>
    <rPh sb="0" eb="2">
      <t>オンセン</t>
    </rPh>
    <rPh sb="2" eb="4">
      <t>イントウ</t>
    </rPh>
    <rPh sb="5" eb="6">
      <t>コト</t>
    </rPh>
    <rPh sb="8" eb="9">
      <t>ギョウ</t>
    </rPh>
    <phoneticPr fontId="5"/>
  </si>
  <si>
    <t>公共
下水道</t>
    <rPh sb="0" eb="2">
      <t>コウキョウ</t>
    </rPh>
    <rPh sb="3" eb="6">
      <t>ゲスイドウ</t>
    </rPh>
    <phoneticPr fontId="5"/>
  </si>
  <si>
    <t>農業集落
排水事業</t>
    <rPh sb="0" eb="2">
      <t>ノウギョウ</t>
    </rPh>
    <rPh sb="2" eb="4">
      <t>シュウラク</t>
    </rPh>
    <rPh sb="5" eb="7">
      <t>ハイスイ</t>
    </rPh>
    <rPh sb="7" eb="9">
      <t>ジギョウ</t>
    </rPh>
    <phoneticPr fontId="5"/>
  </si>
  <si>
    <t>病院事業</t>
    <rPh sb="0" eb="2">
      <t>ビョウイン</t>
    </rPh>
    <rPh sb="2" eb="4">
      <t>ジギョウ</t>
    </rPh>
    <phoneticPr fontId="5"/>
  </si>
  <si>
    <t>一般会計・特別会計歳出</t>
    <rPh sb="0" eb="2">
      <t>イッパン</t>
    </rPh>
    <rPh sb="2" eb="4">
      <t>カイケイ</t>
    </rPh>
    <rPh sb="5" eb="7">
      <t>トクベツ</t>
    </rPh>
    <rPh sb="7" eb="9">
      <t>カイケイ</t>
    </rPh>
    <rPh sb="9" eb="11">
      <t>サイシュツ</t>
    </rPh>
    <phoneticPr fontId="5"/>
  </si>
  <si>
    <t>企業会計歳出（収益的支出）</t>
    <rPh sb="0" eb="2">
      <t>キギョウ</t>
    </rPh>
    <rPh sb="2" eb="4">
      <t>カイケイ</t>
    </rPh>
    <rPh sb="4" eb="6">
      <t>サイシュツ</t>
    </rPh>
    <rPh sb="7" eb="10">
      <t>シュウエキテキ</t>
    </rPh>
    <rPh sb="10" eb="12">
      <t>シシュツ</t>
    </rPh>
    <phoneticPr fontId="5"/>
  </si>
  <si>
    <t>後期高齢者
医　　 療</t>
    <rPh sb="0" eb="2">
      <t>コウキ</t>
    </rPh>
    <rPh sb="2" eb="4">
      <t>コウレイ</t>
    </rPh>
    <rPh sb="4" eb="5">
      <t>モノ</t>
    </rPh>
    <rPh sb="6" eb="7">
      <t>イ</t>
    </rPh>
    <rPh sb="10" eb="11">
      <t>イヤス</t>
    </rPh>
    <phoneticPr fontId="5"/>
  </si>
  <si>
    <t>公営簡易
水　　道</t>
    <rPh sb="0" eb="2">
      <t>コウエイ</t>
    </rPh>
    <rPh sb="2" eb="4">
      <t>カンイ</t>
    </rPh>
    <rPh sb="5" eb="6">
      <t>ミズ</t>
    </rPh>
    <rPh sb="8" eb="9">
      <t>ミチ</t>
    </rPh>
    <phoneticPr fontId="5"/>
  </si>
  <si>
    <t>歳入内容別決算状況（一般会計）</t>
    <rPh sb="0" eb="2">
      <t>サイニュウ</t>
    </rPh>
    <rPh sb="2" eb="4">
      <t>ナイヨウ</t>
    </rPh>
    <rPh sb="4" eb="5">
      <t>ベツ</t>
    </rPh>
    <rPh sb="5" eb="7">
      <t>ケッサン</t>
    </rPh>
    <rPh sb="7" eb="9">
      <t>ジョウキョウ</t>
    </rPh>
    <rPh sb="10" eb="12">
      <t>イッパン</t>
    </rPh>
    <rPh sb="12" eb="14">
      <t>カイケイ</t>
    </rPh>
    <phoneticPr fontId="5"/>
  </si>
  <si>
    <t>年度</t>
    <rPh sb="0" eb="2">
      <t>ネンド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</si>
  <si>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</si>
  <si>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</si>
  <si>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</si>
  <si>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</si>
  <si>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</si>
  <si>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令和元年度</t>
  </si>
  <si>
    <t>令和3年度</t>
    <rPh sb="0" eb="2">
      <t>レイワ</t>
    </rPh>
    <rPh sb="3" eb="4">
      <t>ネン</t>
    </rPh>
    <rPh sb="4" eb="5">
      <t>ド</t>
    </rPh>
    <phoneticPr fontId="5"/>
  </si>
  <si>
    <t>令和4年度</t>
    <rPh sb="0" eb="2">
      <t>レイワ</t>
    </rPh>
    <rPh sb="3" eb="4">
      <t>ネン</t>
    </rPh>
    <rPh sb="4" eb="5">
      <t>ド</t>
    </rPh>
    <phoneticPr fontId="5"/>
  </si>
  <si>
    <t>令和5年度</t>
    <rPh sb="0" eb="2">
      <t>レイワ</t>
    </rPh>
    <rPh sb="3" eb="4">
      <t>ネン</t>
    </rPh>
    <rPh sb="4" eb="5">
      <t>ド</t>
    </rPh>
    <phoneticPr fontId="5"/>
  </si>
  <si>
    <t>歳入項目</t>
    <rPh sb="0" eb="2">
      <t>サイニュウ</t>
    </rPh>
    <rPh sb="2" eb="4">
      <t>コウモク</t>
    </rPh>
    <phoneticPr fontId="5"/>
  </si>
  <si>
    <t>歳入額</t>
    <rPh sb="0" eb="3">
      <t>サイニュウガク</t>
    </rPh>
    <phoneticPr fontId="5"/>
  </si>
  <si>
    <t>対前年度比</t>
    <rPh sb="0" eb="1">
      <t>タイ</t>
    </rPh>
    <rPh sb="1" eb="4">
      <t>ゼンネンド</t>
    </rPh>
    <rPh sb="4" eb="5">
      <t>ヒ</t>
    </rPh>
    <phoneticPr fontId="5"/>
  </si>
  <si>
    <t>歳入額</t>
  </si>
  <si>
    <t>対前年度比</t>
  </si>
  <si>
    <t>市税</t>
    <rPh sb="0" eb="2">
      <t>シゼイ</t>
    </rPh>
    <phoneticPr fontId="5"/>
  </si>
  <si>
    <t>地方譲与税</t>
    <rPh sb="0" eb="2">
      <t>チホウ</t>
    </rPh>
    <rPh sb="2" eb="5">
      <t>ジョウヨゼイ</t>
    </rPh>
    <phoneticPr fontId="5"/>
  </si>
  <si>
    <t>利子割交付金</t>
    <rPh sb="0" eb="2">
      <t>リシ</t>
    </rPh>
    <rPh sb="2" eb="3">
      <t>ワ</t>
    </rPh>
    <rPh sb="3" eb="6">
      <t>コウフキン</t>
    </rPh>
    <phoneticPr fontId="5"/>
  </si>
  <si>
    <t>配当割交付金</t>
    <rPh sb="0" eb="2">
      <t>ハイトウ</t>
    </rPh>
    <rPh sb="2" eb="3">
      <t>ワリ</t>
    </rPh>
    <rPh sb="3" eb="6">
      <t>コウフキン</t>
    </rPh>
    <phoneticPr fontId="5"/>
  </si>
  <si>
    <t>株式等譲渡所得割交付金</t>
    <rPh sb="0" eb="2">
      <t>カブシキ</t>
    </rPh>
    <rPh sb="2" eb="3">
      <t>トウ</t>
    </rPh>
    <rPh sb="3" eb="5">
      <t>ジョウト</t>
    </rPh>
    <rPh sb="5" eb="7">
      <t>ショトク</t>
    </rPh>
    <rPh sb="7" eb="8">
      <t>ワ</t>
    </rPh>
    <rPh sb="8" eb="11">
      <t>コウフキン</t>
    </rPh>
    <phoneticPr fontId="5"/>
  </si>
  <si>
    <t>法人事業税交付金</t>
    <rPh sb="0" eb="2">
      <t>ホウジン</t>
    </rPh>
    <rPh sb="2" eb="5">
      <t>ジギョウゼイ</t>
    </rPh>
    <rPh sb="5" eb="8">
      <t>コウフキン</t>
    </rPh>
    <phoneticPr fontId="5"/>
  </si>
  <si>
    <t>皆増</t>
    <rPh sb="0" eb="1">
      <t>ミナ</t>
    </rPh>
    <rPh sb="1" eb="2">
      <t>ゾウ</t>
    </rPh>
    <phoneticPr fontId="5"/>
  </si>
  <si>
    <t>地方消費税交付金</t>
    <rPh sb="0" eb="2">
      <t>チホウ</t>
    </rPh>
    <rPh sb="2" eb="5">
      <t>ショウヒゼイ</t>
    </rPh>
    <rPh sb="5" eb="8">
      <t>コウフキン</t>
    </rPh>
    <phoneticPr fontId="5"/>
  </si>
  <si>
    <t>ゴルフ場利用税交付金</t>
    <rPh sb="3" eb="4">
      <t>ジョウ</t>
    </rPh>
    <rPh sb="4" eb="6">
      <t>リヨウ</t>
    </rPh>
    <rPh sb="6" eb="7">
      <t>ゼイ</t>
    </rPh>
    <rPh sb="7" eb="10">
      <t>コウフキン</t>
    </rPh>
    <phoneticPr fontId="5"/>
  </si>
  <si>
    <t>環境性能割交付金</t>
    <rPh sb="0" eb="5">
      <t>カンキョウセイノウワリ</t>
    </rPh>
    <rPh sb="5" eb="8">
      <t>コウフキン</t>
    </rPh>
    <phoneticPr fontId="5"/>
  </si>
  <si>
    <t>自動車取得税交付金</t>
    <rPh sb="0" eb="3">
      <t>ジドウシャ</t>
    </rPh>
    <rPh sb="3" eb="6">
      <t>シュトクゼイ</t>
    </rPh>
    <rPh sb="6" eb="9">
      <t>コウフキン</t>
    </rPh>
    <phoneticPr fontId="5"/>
  </si>
  <si>
    <t>地方特例交付金</t>
    <rPh sb="0" eb="2">
      <t>チホウ</t>
    </rPh>
    <rPh sb="2" eb="4">
      <t>トクレイ</t>
    </rPh>
    <rPh sb="4" eb="7">
      <t>コウフキン</t>
    </rPh>
    <phoneticPr fontId="5"/>
  </si>
  <si>
    <t>地方交付税</t>
    <rPh sb="0" eb="2">
      <t>チホウ</t>
    </rPh>
    <rPh sb="2" eb="5">
      <t>コウフゼイ</t>
    </rPh>
    <phoneticPr fontId="5"/>
  </si>
  <si>
    <t>交通安全対策特別交付金</t>
    <rPh sb="0" eb="2">
      <t>コウツウ</t>
    </rPh>
    <rPh sb="2" eb="4">
      <t>アンゼン</t>
    </rPh>
    <rPh sb="4" eb="6">
      <t>タイサク</t>
    </rPh>
    <rPh sb="6" eb="8">
      <t>トクベツ</t>
    </rPh>
    <rPh sb="8" eb="11">
      <t>コウフキン</t>
    </rPh>
    <phoneticPr fontId="5"/>
  </si>
  <si>
    <t>分担金及び負担金</t>
    <rPh sb="0" eb="3">
      <t>ブンタンキン</t>
    </rPh>
    <rPh sb="3" eb="4">
      <t>オヨ</t>
    </rPh>
    <rPh sb="5" eb="8">
      <t>フタンキン</t>
    </rPh>
    <phoneticPr fontId="5"/>
  </si>
  <si>
    <t>使用料及び手数料</t>
    <rPh sb="0" eb="3">
      <t>シヨウリョウ</t>
    </rPh>
    <rPh sb="3" eb="4">
      <t>オヨ</t>
    </rPh>
    <rPh sb="5" eb="8">
      <t>テスウリョウ</t>
    </rPh>
    <phoneticPr fontId="5"/>
  </si>
  <si>
    <t>国庫支出金</t>
    <rPh sb="0" eb="2">
      <t>コッコ</t>
    </rPh>
    <rPh sb="2" eb="4">
      <t>シシュツ</t>
    </rPh>
    <rPh sb="4" eb="5">
      <t>キン</t>
    </rPh>
    <phoneticPr fontId="5"/>
  </si>
  <si>
    <t>県支出金</t>
    <rPh sb="0" eb="1">
      <t>ケン</t>
    </rPh>
    <rPh sb="1" eb="4">
      <t>シシュツキン</t>
    </rPh>
    <phoneticPr fontId="5"/>
  </si>
  <si>
    <t>財産収入</t>
    <rPh sb="0" eb="2">
      <t>ザイサン</t>
    </rPh>
    <rPh sb="2" eb="4">
      <t>シュウニュウ</t>
    </rPh>
    <phoneticPr fontId="5"/>
  </si>
  <si>
    <t>寄付金</t>
    <rPh sb="0" eb="3">
      <t>キフキン</t>
    </rPh>
    <phoneticPr fontId="5"/>
  </si>
  <si>
    <t>繰入金</t>
    <rPh sb="0" eb="3">
      <t>クリイレキン</t>
    </rPh>
    <phoneticPr fontId="5"/>
  </si>
  <si>
    <t>繰越金</t>
    <rPh sb="0" eb="3">
      <t>クリコシキン</t>
    </rPh>
    <phoneticPr fontId="5"/>
  </si>
  <si>
    <t>諸収入</t>
    <rPh sb="0" eb="3">
      <t>ショシュウニュウ</t>
    </rPh>
    <phoneticPr fontId="5"/>
  </si>
  <si>
    <t>市債</t>
    <rPh sb="0" eb="2">
      <t>シサイ</t>
    </rPh>
    <phoneticPr fontId="5"/>
  </si>
  <si>
    <t>歳入合計</t>
    <rPh sb="0" eb="2">
      <t>サイニュウ</t>
    </rPh>
    <rPh sb="2" eb="4">
      <t>ゴウケイ</t>
    </rPh>
    <phoneticPr fontId="5"/>
  </si>
  <si>
    <t>歳出内容別決算状況（一般会計）</t>
    <rPh sb="0" eb="2">
      <t>サイシュツ</t>
    </rPh>
    <rPh sb="2" eb="4">
      <t>ナイヨウ</t>
    </rPh>
    <rPh sb="4" eb="5">
      <t>ベツ</t>
    </rPh>
    <rPh sb="5" eb="7">
      <t>ケッサン</t>
    </rPh>
    <rPh sb="7" eb="9">
      <t>ジョウキョウ</t>
    </rPh>
    <rPh sb="10" eb="12">
      <t>イッパン</t>
    </rPh>
    <rPh sb="12" eb="14">
      <t>カイケイ</t>
    </rPh>
    <phoneticPr fontId="5"/>
  </si>
  <si>
    <t>平成21年度</t>
    <rPh sb="0" eb="2">
      <t>ヘイセイ</t>
    </rPh>
    <rPh sb="4" eb="6">
      <t>ネンド</t>
    </rPh>
    <phoneticPr fontId="5"/>
  </si>
  <si>
    <t>平成24年度</t>
    <rPh sb="0" eb="2">
      <t>ヘイセイ</t>
    </rPh>
    <rPh sb="4" eb="6">
      <t>ネンド</t>
    </rPh>
    <phoneticPr fontId="5"/>
  </si>
  <si>
    <t>平成28年度</t>
  </si>
  <si>
    <t>平成29年度</t>
  </si>
  <si>
    <t>平成30年度</t>
  </si>
  <si>
    <t>歳出項目</t>
    <rPh sb="0" eb="2">
      <t>サイシュツ</t>
    </rPh>
    <rPh sb="2" eb="4">
      <t>コウモク</t>
    </rPh>
    <phoneticPr fontId="5"/>
  </si>
  <si>
    <t>歳出額</t>
    <rPh sb="0" eb="2">
      <t>サイシュツ</t>
    </rPh>
    <rPh sb="2" eb="3">
      <t>ガク</t>
    </rPh>
    <phoneticPr fontId="5"/>
  </si>
  <si>
    <t>歳出額</t>
  </si>
  <si>
    <t>人件費</t>
    <rPh sb="0" eb="3">
      <t>ジンケンヒ</t>
    </rPh>
    <phoneticPr fontId="2"/>
  </si>
  <si>
    <t>扶助費</t>
    <rPh sb="0" eb="3">
      <t>フジョヒ</t>
    </rPh>
    <phoneticPr fontId="2"/>
  </si>
  <si>
    <t>公債費</t>
    <rPh sb="0" eb="3">
      <t>コウサイヒ</t>
    </rPh>
    <phoneticPr fontId="2"/>
  </si>
  <si>
    <t>普通建設事業費</t>
    <rPh sb="0" eb="2">
      <t>フツウ</t>
    </rPh>
    <rPh sb="2" eb="4">
      <t>ケンセツ</t>
    </rPh>
    <rPh sb="4" eb="7">
      <t>ジギョウヒ</t>
    </rPh>
    <phoneticPr fontId="2"/>
  </si>
  <si>
    <t>災害復旧事業費</t>
    <rPh sb="0" eb="2">
      <t>サイガイ</t>
    </rPh>
    <rPh sb="2" eb="7">
      <t>フッキュウヒ</t>
    </rPh>
    <phoneticPr fontId="2"/>
  </si>
  <si>
    <t>物件費</t>
    <rPh sb="0" eb="3">
      <t>ブッケンヒ</t>
    </rPh>
    <phoneticPr fontId="2"/>
  </si>
  <si>
    <t>補助費等</t>
    <rPh sb="0" eb="2">
      <t>ホジョ</t>
    </rPh>
    <rPh sb="2" eb="3">
      <t>ヒ</t>
    </rPh>
    <rPh sb="3" eb="4">
      <t>トウ</t>
    </rPh>
    <phoneticPr fontId="2"/>
  </si>
  <si>
    <t>維持補修費</t>
    <rPh sb="0" eb="2">
      <t>イジ</t>
    </rPh>
    <rPh sb="2" eb="4">
      <t>ホシュウ</t>
    </rPh>
    <rPh sb="4" eb="5">
      <t>ヒ</t>
    </rPh>
    <phoneticPr fontId="2"/>
  </si>
  <si>
    <t>積立金</t>
    <rPh sb="0" eb="3">
      <t>ツミタテキン</t>
    </rPh>
    <phoneticPr fontId="2"/>
  </si>
  <si>
    <t>出資金貸付金</t>
    <rPh sb="0" eb="2">
      <t>シュッシ</t>
    </rPh>
    <rPh sb="2" eb="3">
      <t>キン</t>
    </rPh>
    <rPh sb="3" eb="6">
      <t>カシツケキン</t>
    </rPh>
    <phoneticPr fontId="5"/>
  </si>
  <si>
    <t>繰出金</t>
    <rPh sb="0" eb="2">
      <t>クリダシ</t>
    </rPh>
    <rPh sb="2" eb="3">
      <t>キン</t>
    </rPh>
    <phoneticPr fontId="5"/>
  </si>
  <si>
    <t>歳出計</t>
    <rPh sb="0" eb="2">
      <t>サイシュツ</t>
    </rPh>
    <rPh sb="2" eb="3">
      <t>ケイ</t>
    </rPh>
    <phoneticPr fontId="5"/>
  </si>
  <si>
    <t>歳入歳出差引額</t>
    <rPh sb="0" eb="2">
      <t>サイニュウ</t>
    </rPh>
    <rPh sb="2" eb="4">
      <t>サイシュツ</t>
    </rPh>
    <rPh sb="4" eb="6">
      <t>サシヒキ</t>
    </rPh>
    <rPh sb="6" eb="7">
      <t>ガク</t>
    </rPh>
    <phoneticPr fontId="5"/>
  </si>
  <si>
    <t>目的別市債の状況</t>
    <rPh sb="0" eb="2">
      <t>モクテキ</t>
    </rPh>
    <rPh sb="2" eb="3">
      <t>ベツ</t>
    </rPh>
    <rPh sb="3" eb="5">
      <t>シサイ</t>
    </rPh>
    <rPh sb="6" eb="8">
      <t>ジョウキョウ</t>
    </rPh>
    <phoneticPr fontId="5"/>
  </si>
  <si>
    <t>令和４年度末
現　　在　　高</t>
    <rPh sb="0" eb="2">
      <t>レイワ</t>
    </rPh>
    <rPh sb="3" eb="4">
      <t>ネン</t>
    </rPh>
    <phoneticPr fontId="5"/>
  </si>
  <si>
    <t>令和５年度中
借　　入　　額</t>
    <rPh sb="0" eb="2">
      <t>レイワ</t>
    </rPh>
    <rPh sb="3" eb="6">
      <t>ネンドチュウ</t>
    </rPh>
    <rPh sb="4" eb="5">
      <t>ナカ</t>
    </rPh>
    <rPh sb="6" eb="7">
      <t>シャク</t>
    </rPh>
    <rPh sb="9" eb="10">
      <t>ニュウ</t>
    </rPh>
    <rPh sb="12" eb="13">
      <t>ガク</t>
    </rPh>
    <phoneticPr fontId="5"/>
  </si>
  <si>
    <t>令和５年度中
元金償還額</t>
    <rPh sb="0" eb="2">
      <t>レイワ</t>
    </rPh>
    <rPh sb="3" eb="6">
      <t>ネンドチュウ</t>
    </rPh>
    <rPh sb="4" eb="5">
      <t>ナカ</t>
    </rPh>
    <rPh sb="6" eb="8">
      <t>ガンキン</t>
    </rPh>
    <rPh sb="8" eb="10">
      <t>ショウカン</t>
    </rPh>
    <rPh sb="10" eb="11">
      <t>ガク</t>
    </rPh>
    <phoneticPr fontId="5"/>
  </si>
  <si>
    <t>令和５年度末
現　　在　　高</t>
    <rPh sb="0" eb="2">
      <t>レイワ</t>
    </rPh>
    <rPh sb="3" eb="6">
      <t>ネンドマツ</t>
    </rPh>
    <phoneticPr fontId="5"/>
  </si>
  <si>
    <t>（A)</t>
    <phoneticPr fontId="5"/>
  </si>
  <si>
    <t>（B)</t>
    <phoneticPr fontId="5"/>
  </si>
  <si>
    <t>(C)</t>
    <phoneticPr fontId="5"/>
  </si>
  <si>
    <t>（Ａ)+(Ｂ)-(Ｃ)　（Ｄ）</t>
    <phoneticPr fontId="5"/>
  </si>
  <si>
    <t>（一般会計分）</t>
    <rPh sb="1" eb="3">
      <t>イッパン</t>
    </rPh>
    <rPh sb="3" eb="5">
      <t>カイケイ</t>
    </rPh>
    <rPh sb="5" eb="6">
      <t>ブン</t>
    </rPh>
    <phoneticPr fontId="5"/>
  </si>
  <si>
    <t>普　　通　　債</t>
    <rPh sb="0" eb="4">
      <t>フツウ</t>
    </rPh>
    <rPh sb="6" eb="7">
      <t>サイ</t>
    </rPh>
    <phoneticPr fontId="5"/>
  </si>
  <si>
    <t>(１)</t>
    <phoneticPr fontId="5"/>
  </si>
  <si>
    <t>総務債</t>
    <rPh sb="0" eb="2">
      <t>ソウム</t>
    </rPh>
    <rPh sb="2" eb="3">
      <t>サイ</t>
    </rPh>
    <phoneticPr fontId="5"/>
  </si>
  <si>
    <t>(２)</t>
    <phoneticPr fontId="5"/>
  </si>
  <si>
    <t>民生債</t>
    <rPh sb="0" eb="2">
      <t>ミンセイ</t>
    </rPh>
    <rPh sb="2" eb="3">
      <t>サイ</t>
    </rPh>
    <phoneticPr fontId="5"/>
  </si>
  <si>
    <t>(３)</t>
  </si>
  <si>
    <t>衛生債</t>
    <rPh sb="0" eb="2">
      <t>エイセイ</t>
    </rPh>
    <rPh sb="2" eb="3">
      <t>サイ</t>
    </rPh>
    <phoneticPr fontId="5"/>
  </si>
  <si>
    <t>(４)</t>
  </si>
  <si>
    <t>農林債</t>
    <rPh sb="0" eb="3">
      <t>ノウリンサイ</t>
    </rPh>
    <phoneticPr fontId="5"/>
  </si>
  <si>
    <t>(５)</t>
  </si>
  <si>
    <t>土木債</t>
    <rPh sb="0" eb="2">
      <t>ドボク</t>
    </rPh>
    <rPh sb="2" eb="3">
      <t>サイ</t>
    </rPh>
    <phoneticPr fontId="5"/>
  </si>
  <si>
    <t>(６)</t>
  </si>
  <si>
    <t>消防債</t>
    <rPh sb="0" eb="2">
      <t>ショウボウ</t>
    </rPh>
    <rPh sb="2" eb="3">
      <t>サイ</t>
    </rPh>
    <phoneticPr fontId="5"/>
  </si>
  <si>
    <t>(７)</t>
  </si>
  <si>
    <t>教育債</t>
    <rPh sb="0" eb="2">
      <t>キョウイク</t>
    </rPh>
    <rPh sb="2" eb="3">
      <t>サイ</t>
    </rPh>
    <phoneticPr fontId="5"/>
  </si>
  <si>
    <t>(８)</t>
    <phoneticPr fontId="5"/>
  </si>
  <si>
    <t>辺地対策事業債</t>
    <rPh sb="0" eb="4">
      <t>ヘンチタイサク</t>
    </rPh>
    <rPh sb="4" eb="7">
      <t>ジギョウサイ</t>
    </rPh>
    <phoneticPr fontId="5"/>
  </si>
  <si>
    <t>(９)</t>
    <phoneticPr fontId="5"/>
  </si>
  <si>
    <t>過疎対策事業債</t>
    <rPh sb="0" eb="2">
      <t>カソ</t>
    </rPh>
    <rPh sb="2" eb="4">
      <t>タイサク</t>
    </rPh>
    <rPh sb="4" eb="6">
      <t>ジギョウ</t>
    </rPh>
    <rPh sb="6" eb="7">
      <t>サイ</t>
    </rPh>
    <phoneticPr fontId="5"/>
  </si>
  <si>
    <t>(10)</t>
    <phoneticPr fontId="5"/>
  </si>
  <si>
    <t>緊急防災・減災事業債</t>
    <rPh sb="0" eb="2">
      <t>キンキュウ</t>
    </rPh>
    <rPh sb="2" eb="4">
      <t>ボウサイ</t>
    </rPh>
    <rPh sb="5" eb="7">
      <t>ゲンサイ</t>
    </rPh>
    <rPh sb="7" eb="10">
      <t>ジギョウサイ</t>
    </rPh>
    <phoneticPr fontId="5"/>
  </si>
  <si>
    <t>(11)</t>
    <phoneticPr fontId="5"/>
  </si>
  <si>
    <t>全国防災事業債</t>
    <rPh sb="0" eb="4">
      <t>ゼンコクボウサイ</t>
    </rPh>
    <rPh sb="4" eb="7">
      <t>ジギョウサイ</t>
    </rPh>
    <phoneticPr fontId="5"/>
  </si>
  <si>
    <t>災 害 復 旧 債</t>
    <phoneticPr fontId="5"/>
  </si>
  <si>
    <t>そ　　の　　他</t>
    <rPh sb="0" eb="7">
      <t>ソノタ</t>
    </rPh>
    <phoneticPr fontId="5"/>
  </si>
  <si>
    <t>減税補てん債</t>
    <rPh sb="0" eb="2">
      <t>ゲンゼイ</t>
    </rPh>
    <rPh sb="2" eb="3">
      <t>ホテン</t>
    </rPh>
    <rPh sb="5" eb="6">
      <t>サイ</t>
    </rPh>
    <phoneticPr fontId="5"/>
  </si>
  <si>
    <t>臨時財政対策債</t>
    <rPh sb="0" eb="2">
      <t>リンジ</t>
    </rPh>
    <rPh sb="2" eb="4">
      <t>ザイセイ</t>
    </rPh>
    <rPh sb="4" eb="6">
      <t>タイサク</t>
    </rPh>
    <rPh sb="6" eb="7">
      <t>サイ</t>
    </rPh>
    <phoneticPr fontId="5"/>
  </si>
  <si>
    <t>減収補てん債</t>
    <rPh sb="0" eb="2">
      <t>ゲンシュウ</t>
    </rPh>
    <rPh sb="2" eb="3">
      <t>ホテン</t>
    </rPh>
    <rPh sb="5" eb="6">
      <t>サイ</t>
    </rPh>
    <phoneticPr fontId="5"/>
  </si>
  <si>
    <t>合併特例事業債</t>
    <rPh sb="0" eb="2">
      <t>ガッペイ</t>
    </rPh>
    <rPh sb="2" eb="4">
      <t>トクレイ</t>
    </rPh>
    <rPh sb="4" eb="6">
      <t>ジギョウ</t>
    </rPh>
    <rPh sb="6" eb="7">
      <t>サイ</t>
    </rPh>
    <phoneticPr fontId="5"/>
  </si>
  <si>
    <t>（特別会計、企業会計分）</t>
    <rPh sb="1" eb="3">
      <t>トクベツ</t>
    </rPh>
    <rPh sb="3" eb="5">
      <t>カイケイ</t>
    </rPh>
    <rPh sb="6" eb="8">
      <t>キギョウ</t>
    </rPh>
    <rPh sb="8" eb="10">
      <t>カイケイ</t>
    </rPh>
    <rPh sb="10" eb="11">
      <t>ブン</t>
    </rPh>
    <phoneticPr fontId="5"/>
  </si>
  <si>
    <t>（単位：千円）</t>
    <rPh sb="1" eb="3">
      <t>タンイ</t>
    </rPh>
    <rPh sb="4" eb="6">
      <t>センエン</t>
    </rPh>
    <phoneticPr fontId="28"/>
  </si>
  <si>
    <t>（単位：千円）</t>
    <rPh sb="1" eb="3">
      <t>タンイ</t>
    </rPh>
    <rPh sb="4" eb="6">
      <t>センエン</t>
    </rPh>
    <phoneticPr fontId="5"/>
  </si>
  <si>
    <t>水       道       事       業</t>
    <rPh sb="0" eb="25">
      <t>スイドウジギョウ</t>
    </rPh>
    <phoneticPr fontId="5"/>
  </si>
  <si>
    <t>公営簡易水道</t>
    <rPh sb="0" eb="2">
      <t>コウエイ</t>
    </rPh>
    <rPh sb="2" eb="4">
      <t>カンイ</t>
    </rPh>
    <rPh sb="4" eb="6">
      <t>スイドウ</t>
    </rPh>
    <phoneticPr fontId="5"/>
  </si>
  <si>
    <t>温泉引湯事業</t>
    <rPh sb="0" eb="2">
      <t>オンセン</t>
    </rPh>
    <rPh sb="2" eb="4">
      <t>イントウ</t>
    </rPh>
    <rPh sb="4" eb="6">
      <t>ジギョウ</t>
    </rPh>
    <phoneticPr fontId="5"/>
  </si>
  <si>
    <t>公     共    下    水     道</t>
    <rPh sb="0" eb="23">
      <t>コウキョウゲスイドウ</t>
    </rPh>
    <phoneticPr fontId="5"/>
  </si>
  <si>
    <t xml:space="preserve">農   業   集   落   排   水 </t>
    <rPh sb="0" eb="5">
      <t>ノウギョウ</t>
    </rPh>
    <rPh sb="8" eb="13">
      <t>シュウラク</t>
    </rPh>
    <rPh sb="16" eb="21">
      <t>ハイスイ</t>
    </rPh>
    <phoneticPr fontId="5"/>
  </si>
  <si>
    <t>病       院       事       業</t>
    <rPh sb="0" eb="9">
      <t>ビョウイン</t>
    </rPh>
    <rPh sb="16" eb="25">
      <t>ジギョウ</t>
    </rPh>
    <phoneticPr fontId="5"/>
  </si>
  <si>
    <t>資料：企画財政課</t>
    <phoneticPr fontId="5"/>
  </si>
  <si>
    <t>地方交付税の状況（普通交付税）</t>
    <rPh sb="0" eb="2">
      <t>チホウ</t>
    </rPh>
    <rPh sb="2" eb="5">
      <t>コウフゼイ</t>
    </rPh>
    <rPh sb="6" eb="8">
      <t>ジョウキョウ</t>
    </rPh>
    <rPh sb="9" eb="11">
      <t>フツウ</t>
    </rPh>
    <rPh sb="11" eb="14">
      <t>コウフゼイ</t>
    </rPh>
    <phoneticPr fontId="5"/>
  </si>
  <si>
    <t>基準財政
需要額</t>
    <rPh sb="0" eb="2">
      <t>キジュン</t>
    </rPh>
    <rPh sb="2" eb="4">
      <t>ザイセイ</t>
    </rPh>
    <rPh sb="5" eb="8">
      <t>ジュヨウガク</t>
    </rPh>
    <phoneticPr fontId="5"/>
  </si>
  <si>
    <t>基準財政
収入額</t>
    <rPh sb="0" eb="2">
      <t>キジュン</t>
    </rPh>
    <rPh sb="2" eb="4">
      <t>ザイセイ</t>
    </rPh>
    <rPh sb="5" eb="8">
      <t>シュウニュウガク</t>
    </rPh>
    <phoneticPr fontId="5"/>
  </si>
  <si>
    <t>合併算定替
縮減額</t>
    <rPh sb="0" eb="2">
      <t>ガッペイ</t>
    </rPh>
    <rPh sb="2" eb="4">
      <t>サンテイ</t>
    </rPh>
    <rPh sb="4" eb="5">
      <t>カ</t>
    </rPh>
    <rPh sb="6" eb="8">
      <t>シュクゲン</t>
    </rPh>
    <rPh sb="8" eb="9">
      <t>ガク</t>
    </rPh>
    <phoneticPr fontId="5"/>
  </si>
  <si>
    <t>交付基準額</t>
    <rPh sb="0" eb="2">
      <t>コウフ</t>
    </rPh>
    <rPh sb="2" eb="5">
      <t>キジュンガク</t>
    </rPh>
    <phoneticPr fontId="5"/>
  </si>
  <si>
    <t>交付額</t>
    <rPh sb="0" eb="3">
      <t>コウフガク</t>
    </rPh>
    <phoneticPr fontId="5"/>
  </si>
  <si>
    <t>財政力指数</t>
    <rPh sb="0" eb="2">
      <t>ザイセイ</t>
    </rPh>
    <rPh sb="2" eb="3">
      <t>リョク</t>
    </rPh>
    <rPh sb="3" eb="5">
      <t>シスウ</t>
    </rPh>
    <phoneticPr fontId="5"/>
  </si>
  <si>
    <t xml:space="preserve">資料：企画財政課　　注）錯誤措置額を含む。 </t>
    <rPh sb="0" eb="2">
      <t>シリョウ</t>
    </rPh>
    <rPh sb="3" eb="5">
      <t>キカク</t>
    </rPh>
    <rPh sb="5" eb="7">
      <t>ザイセイ</t>
    </rPh>
    <rPh sb="7" eb="8">
      <t>カ</t>
    </rPh>
    <rPh sb="10" eb="11">
      <t>チュウ</t>
    </rPh>
    <rPh sb="12" eb="14">
      <t>サクゴ</t>
    </rPh>
    <rPh sb="14" eb="16">
      <t>ソチ</t>
    </rPh>
    <rPh sb="16" eb="17">
      <t>ガク</t>
    </rPh>
    <rPh sb="18" eb="19">
      <t>フク</t>
    </rPh>
    <phoneticPr fontId="5"/>
  </si>
  <si>
    <t>経営耕地面積の推移</t>
    <rPh sb="0" eb="2">
      <t>ケイエイ</t>
    </rPh>
    <rPh sb="2" eb="4">
      <t>コウチ</t>
    </rPh>
    <rPh sb="4" eb="6">
      <t>メンセキ</t>
    </rPh>
    <rPh sb="7" eb="9">
      <t>スイイ</t>
    </rPh>
    <phoneticPr fontId="5"/>
  </si>
  <si>
    <t>（単位　ha）</t>
    <rPh sb="1" eb="3">
      <t>タンイ</t>
    </rPh>
    <phoneticPr fontId="5"/>
  </si>
  <si>
    <t>各年2月1日現在</t>
    <rPh sb="0" eb="2">
      <t>カクトシ</t>
    </rPh>
    <rPh sb="2" eb="4">
      <t>２ガツ</t>
    </rPh>
    <rPh sb="4" eb="6">
      <t>１ニチ</t>
    </rPh>
    <rPh sb="6" eb="8">
      <t>ゲンザイ</t>
    </rPh>
    <phoneticPr fontId="5"/>
  </si>
  <si>
    <t>大字別</t>
    <rPh sb="0" eb="2">
      <t>オオアザ</t>
    </rPh>
    <rPh sb="2" eb="3">
      <t>ベツ</t>
    </rPh>
    <phoneticPr fontId="5"/>
  </si>
  <si>
    <t>経　営　耕　地　面　積</t>
    <rPh sb="0" eb="1">
      <t>キョウ</t>
    </rPh>
    <rPh sb="2" eb="3">
      <t>エイ</t>
    </rPh>
    <rPh sb="4" eb="5">
      <t>コウ</t>
    </rPh>
    <rPh sb="6" eb="7">
      <t>チ</t>
    </rPh>
    <rPh sb="8" eb="9">
      <t>メン</t>
    </rPh>
    <rPh sb="10" eb="11">
      <t>セキ</t>
    </rPh>
    <phoneticPr fontId="5"/>
  </si>
  <si>
    <t>総面積</t>
    <rPh sb="0" eb="1">
      <t>ソウ</t>
    </rPh>
    <rPh sb="1" eb="3">
      <t>メンセキ</t>
    </rPh>
    <phoneticPr fontId="5"/>
  </si>
  <si>
    <t>田</t>
    <phoneticPr fontId="5"/>
  </si>
  <si>
    <t>畑</t>
    <phoneticPr fontId="5"/>
  </si>
  <si>
    <t>樹園地</t>
    <phoneticPr fontId="5"/>
  </si>
  <si>
    <t>面　積</t>
    <rPh sb="0" eb="1">
      <t>メン</t>
    </rPh>
    <rPh sb="2" eb="3">
      <t>セキ</t>
    </rPh>
    <phoneticPr fontId="5"/>
  </si>
  <si>
    <t>稲作田</t>
    <rPh sb="0" eb="2">
      <t>イナサク</t>
    </rPh>
    <rPh sb="2" eb="3">
      <t>タ</t>
    </rPh>
    <phoneticPr fontId="5"/>
  </si>
  <si>
    <t>稲以外</t>
    <rPh sb="0" eb="1">
      <t>イネ</t>
    </rPh>
    <rPh sb="1" eb="3">
      <t>イガイ</t>
    </rPh>
    <phoneticPr fontId="5"/>
  </si>
  <si>
    <t>作付けし
なかった</t>
    <rPh sb="0" eb="1">
      <t>サク</t>
    </rPh>
    <rPh sb="1" eb="2">
      <t>ヅ</t>
    </rPh>
    <phoneticPr fontId="5"/>
  </si>
  <si>
    <t>普通畑</t>
    <rPh sb="0" eb="2">
      <t>フツウ</t>
    </rPh>
    <rPh sb="2" eb="3">
      <t>ハタケ</t>
    </rPh>
    <phoneticPr fontId="5"/>
  </si>
  <si>
    <t>牧草専用</t>
    <rPh sb="0" eb="2">
      <t>ボクソウ</t>
    </rPh>
    <rPh sb="2" eb="4">
      <t>センヨウ</t>
    </rPh>
    <phoneticPr fontId="5"/>
  </si>
  <si>
    <t>果樹園</t>
    <rPh sb="0" eb="3">
      <t>カジュエン</t>
    </rPh>
    <phoneticPr fontId="5"/>
  </si>
  <si>
    <t>大　　町</t>
    <rPh sb="0" eb="4">
      <t>オオマチ</t>
    </rPh>
    <phoneticPr fontId="5"/>
  </si>
  <si>
    <t>常　　盤</t>
    <rPh sb="0" eb="4">
      <t>トキワ</t>
    </rPh>
    <phoneticPr fontId="5"/>
  </si>
  <si>
    <t>八　　坂</t>
    <rPh sb="0" eb="1">
      <t>ハチ</t>
    </rPh>
    <rPh sb="3" eb="4">
      <t>サカ</t>
    </rPh>
    <phoneticPr fontId="5"/>
  </si>
  <si>
    <t>美　　麻</t>
    <rPh sb="0" eb="1">
      <t>ビ</t>
    </rPh>
    <rPh sb="3" eb="4">
      <t>アサ</t>
    </rPh>
    <phoneticPr fontId="5"/>
  </si>
  <si>
    <t>資料：農林業センサス</t>
    <rPh sb="0" eb="2">
      <t>シリョウ</t>
    </rPh>
    <rPh sb="3" eb="6">
      <t>ノウリンギョウ</t>
    </rPh>
    <phoneticPr fontId="5"/>
  </si>
  <si>
    <t>注）1.経営耕地面積は四捨五入したため、個々の数値を合計しても必ずしも総数と一致しない。</t>
    <rPh sb="0" eb="1">
      <t>チュウ</t>
    </rPh>
    <rPh sb="4" eb="6">
      <t>ケイエイ</t>
    </rPh>
    <rPh sb="6" eb="8">
      <t>コウチ</t>
    </rPh>
    <rPh sb="8" eb="10">
      <t>メンセキ</t>
    </rPh>
    <rPh sb="11" eb="15">
      <t>シシャゴニュウ</t>
    </rPh>
    <rPh sb="20" eb="22">
      <t>ココ</t>
    </rPh>
    <rPh sb="23" eb="25">
      <t>スウチ</t>
    </rPh>
    <rPh sb="26" eb="28">
      <t>ゴウケイ</t>
    </rPh>
    <rPh sb="31" eb="32">
      <t>カナラ</t>
    </rPh>
    <rPh sb="35" eb="37">
      <t>ソウスウ</t>
    </rPh>
    <rPh sb="38" eb="40">
      <t>イッチ</t>
    </rPh>
    <phoneticPr fontId="5"/>
  </si>
  <si>
    <t>農地の移動状況</t>
    <rPh sb="0" eb="2">
      <t>ノウチ</t>
    </rPh>
    <rPh sb="3" eb="5">
      <t>イドウ</t>
    </rPh>
    <rPh sb="5" eb="7">
      <t>ジョウキョウ</t>
    </rPh>
    <phoneticPr fontId="5"/>
  </si>
  <si>
    <t>（単位 ： 件 ・ a ）</t>
    <rPh sb="1" eb="3">
      <t>タンイ</t>
    </rPh>
    <rPh sb="6" eb="7">
      <t>ケン</t>
    </rPh>
    <phoneticPr fontId="5"/>
  </si>
  <si>
    <t>年　度</t>
    <rPh sb="0" eb="1">
      <t>ネン</t>
    </rPh>
    <rPh sb="2" eb="3">
      <t>タビ</t>
    </rPh>
    <phoneticPr fontId="5"/>
  </si>
  <si>
    <t>審　　　　議　　　　件　　　　数</t>
    <rPh sb="0" eb="1">
      <t>シン</t>
    </rPh>
    <rPh sb="5" eb="6">
      <t>ギ</t>
    </rPh>
    <rPh sb="10" eb="11">
      <t>ケン</t>
    </rPh>
    <rPh sb="15" eb="16">
      <t>カズ</t>
    </rPh>
    <phoneticPr fontId="5"/>
  </si>
  <si>
    <t>面　　　　　　　　　　　　積</t>
    <rPh sb="0" eb="1">
      <t>メン</t>
    </rPh>
    <rPh sb="13" eb="14">
      <t>セキ</t>
    </rPh>
    <phoneticPr fontId="5"/>
  </si>
  <si>
    <t>法第3条</t>
    <rPh sb="0" eb="1">
      <t>ホウ</t>
    </rPh>
    <rPh sb="1" eb="2">
      <t>ダイ</t>
    </rPh>
    <rPh sb="3" eb="4">
      <t>ジョウ</t>
    </rPh>
    <phoneticPr fontId="5"/>
  </si>
  <si>
    <t>法第4条</t>
    <rPh sb="0" eb="1">
      <t>ホウ</t>
    </rPh>
    <rPh sb="1" eb="2">
      <t>ダイ</t>
    </rPh>
    <phoneticPr fontId="5"/>
  </si>
  <si>
    <t>法第5条</t>
    <rPh sb="0" eb="1">
      <t>ホウ</t>
    </rPh>
    <rPh sb="1" eb="2">
      <t>ダイ</t>
    </rPh>
    <phoneticPr fontId="5"/>
  </si>
  <si>
    <t>法第18条</t>
    <rPh sb="0" eb="1">
      <t>ホウ</t>
    </rPh>
    <rPh sb="1" eb="2">
      <t>ダイ</t>
    </rPh>
    <rPh sb="4" eb="5">
      <t>ジョウ</t>
    </rPh>
    <phoneticPr fontId="5"/>
  </si>
  <si>
    <t>(所有権)</t>
    <rPh sb="1" eb="4">
      <t>ショユウケン</t>
    </rPh>
    <phoneticPr fontId="5"/>
  </si>
  <si>
    <t>(貸借権等)</t>
    <rPh sb="1" eb="3">
      <t>カシカ</t>
    </rPh>
    <rPh sb="3" eb="4">
      <t>ケン</t>
    </rPh>
    <rPh sb="4" eb="5">
      <t>トウ</t>
    </rPh>
    <phoneticPr fontId="5"/>
  </si>
  <si>
    <t>（単位 ： 件 ・ a ）</t>
  </si>
  <si>
    <t>審議件数</t>
    <rPh sb="0" eb="2">
      <t>シンギ</t>
    </rPh>
    <rPh sb="2" eb="4">
      <t>ケンスウ</t>
    </rPh>
    <phoneticPr fontId="5"/>
  </si>
  <si>
    <t>促進法第4条</t>
    <rPh sb="0" eb="3">
      <t>ソクシンホウ</t>
    </rPh>
    <rPh sb="3" eb="4">
      <t>ダイ</t>
    </rPh>
    <rPh sb="4" eb="6">
      <t>４ジョウ</t>
    </rPh>
    <phoneticPr fontId="5"/>
  </si>
  <si>
    <t>国・県・市等の転用</t>
    <rPh sb="0" eb="1">
      <t>クニ</t>
    </rPh>
    <rPh sb="2" eb="3">
      <t>ケン</t>
    </rPh>
    <rPh sb="4" eb="5">
      <t>シ</t>
    </rPh>
    <rPh sb="5" eb="6">
      <t>トウ</t>
    </rPh>
    <rPh sb="7" eb="9">
      <t>テンヨウ</t>
    </rPh>
    <phoneticPr fontId="5"/>
  </si>
  <si>
    <t>資料 ： 農業委員会</t>
    <rPh sb="0" eb="2">
      <t>シリョウ</t>
    </rPh>
    <rPh sb="5" eb="7">
      <t>ノウギョウ</t>
    </rPh>
    <rPh sb="7" eb="10">
      <t>イインカイ</t>
    </rPh>
    <phoneticPr fontId="5"/>
  </si>
  <si>
    <t>区分説明　</t>
    <rPh sb="0" eb="2">
      <t>クブン</t>
    </rPh>
    <rPh sb="2" eb="4">
      <t>セツメイ</t>
    </rPh>
    <phoneticPr fontId="5"/>
  </si>
  <si>
    <t>①法＝農地法</t>
    <rPh sb="1" eb="2">
      <t>ホウ</t>
    </rPh>
    <rPh sb="3" eb="6">
      <t>ノウチホウ</t>
    </rPh>
    <phoneticPr fontId="5"/>
  </si>
  <si>
    <t>法第3条（所有権）　　＝所有権の移転</t>
    <rPh sb="0" eb="1">
      <t>ホウ</t>
    </rPh>
    <rPh sb="1" eb="2">
      <t>ダイ</t>
    </rPh>
    <rPh sb="3" eb="4">
      <t>ジョウ</t>
    </rPh>
    <rPh sb="5" eb="8">
      <t>ショユウケン</t>
    </rPh>
    <rPh sb="12" eb="15">
      <t>ショユウケン</t>
    </rPh>
    <rPh sb="16" eb="18">
      <t>イテン</t>
    </rPh>
    <phoneticPr fontId="5"/>
  </si>
  <si>
    <t>法第3条（貸借権等）　＝賃貸借権、使用貸借件の設定</t>
    <rPh sb="0" eb="1">
      <t>ホウ</t>
    </rPh>
    <rPh sb="1" eb="2">
      <t>ダイ</t>
    </rPh>
    <rPh sb="3" eb="4">
      <t>ジョウ</t>
    </rPh>
    <rPh sb="5" eb="8">
      <t>タイシャクケン</t>
    </rPh>
    <rPh sb="8" eb="9">
      <t>トウ</t>
    </rPh>
    <rPh sb="12" eb="15">
      <t>チンタイシャク</t>
    </rPh>
    <rPh sb="15" eb="16">
      <t>ケン</t>
    </rPh>
    <rPh sb="17" eb="19">
      <t>シヨウ</t>
    </rPh>
    <rPh sb="19" eb="21">
      <t>タイシャク</t>
    </rPh>
    <rPh sb="21" eb="22">
      <t>クダン</t>
    </rPh>
    <rPh sb="23" eb="25">
      <t>セッテイ</t>
    </rPh>
    <phoneticPr fontId="5"/>
  </si>
  <si>
    <t>法第4条　　　　　　　＝所有者による農地以外の転用</t>
    <rPh sb="0" eb="1">
      <t>ホウ</t>
    </rPh>
    <rPh sb="1" eb="2">
      <t>ダイ</t>
    </rPh>
    <rPh sb="3" eb="4">
      <t>ジョウ</t>
    </rPh>
    <rPh sb="12" eb="15">
      <t>ショユウシャ</t>
    </rPh>
    <rPh sb="18" eb="20">
      <t>ノウチ</t>
    </rPh>
    <rPh sb="20" eb="22">
      <t>イガイ</t>
    </rPh>
    <rPh sb="23" eb="25">
      <t>テンヨウ</t>
    </rPh>
    <phoneticPr fontId="5"/>
  </si>
  <si>
    <t>法第5条　　　　　　　＝所有権の移転及び貸借権等の設定による農地以外の転用</t>
    <rPh sb="0" eb="1">
      <t>ホウ</t>
    </rPh>
    <rPh sb="1" eb="2">
      <t>ダイ</t>
    </rPh>
    <rPh sb="3" eb="4">
      <t>ジョウ</t>
    </rPh>
    <rPh sb="12" eb="15">
      <t>ショユウケン</t>
    </rPh>
    <rPh sb="16" eb="18">
      <t>イテン</t>
    </rPh>
    <rPh sb="18" eb="19">
      <t>オヨ</t>
    </rPh>
    <rPh sb="20" eb="23">
      <t>タイシャクケン</t>
    </rPh>
    <rPh sb="23" eb="24">
      <t>トウ</t>
    </rPh>
    <rPh sb="25" eb="27">
      <t>セッテイ</t>
    </rPh>
    <rPh sb="30" eb="32">
      <t>ノウチ</t>
    </rPh>
    <rPh sb="32" eb="34">
      <t>イガイ</t>
    </rPh>
    <rPh sb="35" eb="37">
      <t>テンヨウ</t>
    </rPh>
    <phoneticPr fontId="5"/>
  </si>
  <si>
    <t>法第18条　　　　　　 ＝貸借の解約など</t>
    <rPh sb="0" eb="1">
      <t>ホウ</t>
    </rPh>
    <rPh sb="1" eb="2">
      <t>ダイ</t>
    </rPh>
    <rPh sb="4" eb="5">
      <t>ジョウ</t>
    </rPh>
    <rPh sb="13" eb="15">
      <t>タイシャク</t>
    </rPh>
    <rPh sb="16" eb="18">
      <t>カイヤク</t>
    </rPh>
    <phoneticPr fontId="5"/>
  </si>
  <si>
    <t>②促進法＝農業経営基盤強化促進法第4条</t>
    <rPh sb="1" eb="4">
      <t>ソクシンホウ</t>
    </rPh>
    <rPh sb="5" eb="7">
      <t>ノウギョウ</t>
    </rPh>
    <rPh sb="7" eb="9">
      <t>ケイエイ</t>
    </rPh>
    <rPh sb="9" eb="11">
      <t>キバン</t>
    </rPh>
    <rPh sb="11" eb="13">
      <t>キョウカ</t>
    </rPh>
    <rPh sb="13" eb="16">
      <t>ソクシンホウ</t>
    </rPh>
    <rPh sb="16" eb="17">
      <t>ダイ</t>
    </rPh>
    <rPh sb="18" eb="19">
      <t>ジョウ</t>
    </rPh>
    <phoneticPr fontId="5"/>
  </si>
  <si>
    <t>促進法第4条（所有権）　＝所有権の移転</t>
    <rPh sb="0" eb="3">
      <t>ソクシンホウ</t>
    </rPh>
    <rPh sb="3" eb="4">
      <t>ダイ</t>
    </rPh>
    <rPh sb="5" eb="6">
      <t>ジョウ</t>
    </rPh>
    <rPh sb="7" eb="10">
      <t>ショユウケン</t>
    </rPh>
    <rPh sb="13" eb="16">
      <t>ショユウケン</t>
    </rPh>
    <rPh sb="17" eb="19">
      <t>イテン</t>
    </rPh>
    <phoneticPr fontId="5"/>
  </si>
  <si>
    <t>促進法第4条（貸借権等）＝賃貸借権、使用貸借権の設定</t>
    <rPh sb="0" eb="3">
      <t>ソクシンホウ</t>
    </rPh>
    <rPh sb="3" eb="4">
      <t>ダイ</t>
    </rPh>
    <rPh sb="5" eb="6">
      <t>ジョウ</t>
    </rPh>
    <rPh sb="7" eb="10">
      <t>タイシャクケン</t>
    </rPh>
    <rPh sb="10" eb="11">
      <t>トウ</t>
    </rPh>
    <rPh sb="13" eb="16">
      <t>チンタイシャク</t>
    </rPh>
    <rPh sb="16" eb="17">
      <t>ケン</t>
    </rPh>
    <rPh sb="18" eb="20">
      <t>シヨウ</t>
    </rPh>
    <rPh sb="20" eb="22">
      <t>タイシャク</t>
    </rPh>
    <rPh sb="22" eb="23">
      <t>ケン</t>
    </rPh>
    <rPh sb="24" eb="26">
      <t>セッテイ</t>
    </rPh>
    <phoneticPr fontId="5"/>
  </si>
  <si>
    <t>事業所数・従業者数の推移</t>
    <rPh sb="0" eb="3">
      <t>ジギョウショ</t>
    </rPh>
    <rPh sb="3" eb="4">
      <t>スウ</t>
    </rPh>
    <rPh sb="5" eb="6">
      <t>ジュウ</t>
    </rPh>
    <rPh sb="6" eb="9">
      <t>ギョウシャスウ</t>
    </rPh>
    <rPh sb="10" eb="12">
      <t>スイイ</t>
    </rPh>
    <phoneticPr fontId="5"/>
  </si>
  <si>
    <t>平成16年
（簡易調査）</t>
    <rPh sb="7" eb="9">
      <t>カンイ</t>
    </rPh>
    <rPh sb="9" eb="11">
      <t>チョウサ</t>
    </rPh>
    <phoneticPr fontId="5"/>
  </si>
  <si>
    <t>平成21年
（基礎調査）</t>
    <rPh sb="0" eb="2">
      <t>ヘイセイ</t>
    </rPh>
    <rPh sb="4" eb="5">
      <t>ネン</t>
    </rPh>
    <rPh sb="7" eb="9">
      <t>キソ</t>
    </rPh>
    <rPh sb="9" eb="11">
      <t>チョウサ</t>
    </rPh>
    <phoneticPr fontId="5"/>
  </si>
  <si>
    <t>平成24年
（活動調査）</t>
    <rPh sb="0" eb="2">
      <t>ヘイセイ</t>
    </rPh>
    <rPh sb="4" eb="5">
      <t>ネン</t>
    </rPh>
    <rPh sb="7" eb="9">
      <t>カツドウ</t>
    </rPh>
    <rPh sb="9" eb="11">
      <t>チョウサ</t>
    </rPh>
    <phoneticPr fontId="5"/>
  </si>
  <si>
    <t>平成26年
（基礎調査）</t>
    <rPh sb="0" eb="2">
      <t>ヘイセイ</t>
    </rPh>
    <rPh sb="4" eb="5">
      <t>ネン</t>
    </rPh>
    <rPh sb="7" eb="9">
      <t>キソ</t>
    </rPh>
    <rPh sb="9" eb="11">
      <t>チョウサ</t>
    </rPh>
    <phoneticPr fontId="5"/>
  </si>
  <si>
    <t>平成28年
（活動調査）</t>
    <rPh sb="0" eb="2">
      <t>ヘイセイ</t>
    </rPh>
    <rPh sb="4" eb="5">
      <t>ネン</t>
    </rPh>
    <rPh sb="7" eb="9">
      <t>カツドウ</t>
    </rPh>
    <rPh sb="9" eb="11">
      <t>チョウサ</t>
    </rPh>
    <phoneticPr fontId="5"/>
  </si>
  <si>
    <t>事業所数</t>
    <rPh sb="0" eb="3">
      <t>ジギョウショ</t>
    </rPh>
    <rPh sb="3" eb="4">
      <t>スウ</t>
    </rPh>
    <phoneticPr fontId="5"/>
  </si>
  <si>
    <t>従業者数</t>
    <rPh sb="0" eb="4">
      <t>ジュウギョウシャスウ</t>
    </rPh>
    <phoneticPr fontId="5"/>
  </si>
  <si>
    <t>資料 ：事業所・企業統計調査（平成18年以前）、経済センサス（平成21年以降）</t>
    <rPh sb="0" eb="2">
      <t>シリョウ</t>
    </rPh>
    <rPh sb="4" eb="7">
      <t>ジギョウショ</t>
    </rPh>
    <rPh sb="8" eb="10">
      <t>キギョウ</t>
    </rPh>
    <rPh sb="10" eb="12">
      <t>トウケイ</t>
    </rPh>
    <rPh sb="12" eb="14">
      <t>チョウサ</t>
    </rPh>
    <rPh sb="15" eb="17">
      <t>ヘイセイ</t>
    </rPh>
    <rPh sb="19" eb="20">
      <t>ネン</t>
    </rPh>
    <rPh sb="20" eb="22">
      <t>イゼン</t>
    </rPh>
    <rPh sb="36" eb="38">
      <t>イコウ</t>
    </rPh>
    <phoneticPr fontId="5"/>
  </si>
  <si>
    <t>注）1.平成16、24、28年は公務（国及び地方公共団体の事業所）を除く。</t>
    <rPh sb="0" eb="1">
      <t>チュウ</t>
    </rPh>
    <phoneticPr fontId="5"/>
  </si>
  <si>
    <t>　　2.「事業所・企業統計調査」は平成21年から「経済センサス」に統合された。</t>
    <phoneticPr fontId="5"/>
  </si>
  <si>
    <t>　　3.令和元年基礎調査では、従業員数は新規把握事業所のみ報告対象としているため、記載しない。</t>
    <rPh sb="4" eb="6">
      <t>レイワ</t>
    </rPh>
    <rPh sb="6" eb="8">
      <t>ガンネン</t>
    </rPh>
    <rPh sb="8" eb="10">
      <t>キソ</t>
    </rPh>
    <rPh sb="10" eb="12">
      <t>チョウサ</t>
    </rPh>
    <rPh sb="15" eb="18">
      <t>ジュウギョウイン</t>
    </rPh>
    <rPh sb="18" eb="19">
      <t>スウ</t>
    </rPh>
    <rPh sb="20" eb="22">
      <t>シンキ</t>
    </rPh>
    <rPh sb="22" eb="24">
      <t>ハアク</t>
    </rPh>
    <rPh sb="24" eb="26">
      <t>ジギョウ</t>
    </rPh>
    <rPh sb="26" eb="27">
      <t>ショ</t>
    </rPh>
    <rPh sb="29" eb="31">
      <t>ホウコク</t>
    </rPh>
    <rPh sb="31" eb="33">
      <t>タイショウ</t>
    </rPh>
    <rPh sb="41" eb="43">
      <t>キサイ</t>
    </rPh>
    <phoneticPr fontId="5"/>
  </si>
  <si>
    <t>令和元年
（基礎調査）</t>
    <rPh sb="0" eb="2">
      <t>レイワ</t>
    </rPh>
    <rPh sb="2" eb="3">
      <t>モト</t>
    </rPh>
    <rPh sb="3" eb="4">
      <t>ネン</t>
    </rPh>
    <phoneticPr fontId="5"/>
  </si>
  <si>
    <t>令和2年
（活動調査）</t>
    <rPh sb="0" eb="2">
      <t>レイワ</t>
    </rPh>
    <rPh sb="3" eb="4">
      <t>ネン</t>
    </rPh>
    <phoneticPr fontId="5"/>
  </si>
  <si>
    <t>産業大分類別事業所数</t>
    <rPh sb="0" eb="2">
      <t>サンギョウ</t>
    </rPh>
    <rPh sb="2" eb="4">
      <t>ダイブン</t>
    </rPh>
    <rPh sb="4" eb="6">
      <t>ルイベツ</t>
    </rPh>
    <rPh sb="6" eb="9">
      <t>ジギョウショ</t>
    </rPh>
    <rPh sb="9" eb="10">
      <t>スウ</t>
    </rPh>
    <phoneticPr fontId="5"/>
  </si>
  <si>
    <t>産業大分類</t>
    <rPh sb="0" eb="2">
      <t>サンギョウ</t>
    </rPh>
    <rPh sb="2" eb="5">
      <t>ダイブンルイ</t>
    </rPh>
    <phoneticPr fontId="5"/>
  </si>
  <si>
    <t>平成26年
（基礎調査）</t>
    <rPh sb="7" eb="9">
      <t>キソ</t>
    </rPh>
    <rPh sb="9" eb="11">
      <t>チョウサ</t>
    </rPh>
    <phoneticPr fontId="5"/>
  </si>
  <si>
    <t>平成28年
（活動調査）</t>
    <rPh sb="7" eb="9">
      <t>カツドウ</t>
    </rPh>
    <rPh sb="9" eb="11">
      <t>チョウサ</t>
    </rPh>
    <phoneticPr fontId="5"/>
  </si>
  <si>
    <t>全産業</t>
  </si>
  <si>
    <t>農林漁業</t>
  </si>
  <si>
    <t>運輸業，郵便業</t>
    <rPh sb="0" eb="2">
      <t>ウンユ</t>
    </rPh>
    <rPh sb="2" eb="3">
      <t>ギョウ</t>
    </rPh>
    <rPh sb="4" eb="6">
      <t>ユウビン</t>
    </rPh>
    <rPh sb="6" eb="7">
      <t>ギョウ</t>
    </rPh>
    <phoneticPr fontId="5"/>
  </si>
  <si>
    <t>卸売業，小売業</t>
    <rPh sb="0" eb="2">
      <t>オロシウリ</t>
    </rPh>
    <rPh sb="2" eb="3">
      <t>ギョウ</t>
    </rPh>
    <rPh sb="4" eb="7">
      <t>コウリギョウ</t>
    </rPh>
    <phoneticPr fontId="5"/>
  </si>
  <si>
    <t>金融業，保険業</t>
    <rPh sb="0" eb="2">
      <t>キンユウ</t>
    </rPh>
    <rPh sb="2" eb="3">
      <t>ギョウ</t>
    </rPh>
    <rPh sb="4" eb="7">
      <t>ホケンギョウ</t>
    </rPh>
    <phoneticPr fontId="5"/>
  </si>
  <si>
    <t>不動産業，物品賃貸業</t>
    <rPh sb="0" eb="3">
      <t>フドウサン</t>
    </rPh>
    <rPh sb="3" eb="4">
      <t>ギョウ</t>
    </rPh>
    <rPh sb="5" eb="7">
      <t>ブッピン</t>
    </rPh>
    <rPh sb="7" eb="9">
      <t>チンタイ</t>
    </rPh>
    <rPh sb="9" eb="10">
      <t>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</si>
  <si>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</si>
  <si>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</si>
  <si>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</si>
  <si>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</si>
  <si>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複合サービス業</t>
    <rPh sb="0" eb="2">
      <t>フクゴウ</t>
    </rPh>
    <rPh sb="6" eb="7">
      <t>ギョウ</t>
    </rPh>
    <phoneticPr fontId="5"/>
  </si>
  <si>
    <t>サービス業(他に分類されないもの)</t>
    <rPh sb="4" eb="5">
      <t>ギョウ</t>
    </rPh>
    <rPh sb="6" eb="7">
      <t>タ</t>
    </rPh>
    <rPh sb="8" eb="10">
      <t>ブンルイ</t>
    </rPh>
    <phoneticPr fontId="5"/>
  </si>
  <si>
    <t>資料：事業所・企業統計調査（平成18年）、経済センサス（平成21年以降）　　</t>
    <rPh sb="0" eb="2">
      <t>シリョウ</t>
    </rPh>
    <rPh sb="3" eb="6">
      <t>ジギョウショ</t>
    </rPh>
    <rPh sb="7" eb="9">
      <t>キギョウ</t>
    </rPh>
    <rPh sb="9" eb="11">
      <t>トウケイ</t>
    </rPh>
    <rPh sb="11" eb="13">
      <t>チョウサ</t>
    </rPh>
    <rPh sb="14" eb="16">
      <t>ヘイセイ</t>
    </rPh>
    <rPh sb="18" eb="19">
      <t>ネン</t>
    </rPh>
    <rPh sb="21" eb="23">
      <t>ケイザイ</t>
    </rPh>
    <rPh sb="28" eb="30">
      <t>ヘイセイ</t>
    </rPh>
    <rPh sb="32" eb="33">
      <t>ネン</t>
    </rPh>
    <rPh sb="33" eb="35">
      <t>イコウ</t>
    </rPh>
    <phoneticPr fontId="5"/>
  </si>
  <si>
    <t>注）1.「事業所・企業統計調査」は平成21年から「経済センサス」に統合</t>
    <rPh sb="0" eb="1">
      <t>チュウ</t>
    </rPh>
    <rPh sb="5" eb="8">
      <t>ジギョウショ</t>
    </rPh>
    <rPh sb="9" eb="11">
      <t>キギョウ</t>
    </rPh>
    <rPh sb="11" eb="13">
      <t>トウケイ</t>
    </rPh>
    <rPh sb="13" eb="15">
      <t>チョウサ</t>
    </rPh>
    <rPh sb="17" eb="19">
      <t>ヘイセイ</t>
    </rPh>
    <rPh sb="21" eb="22">
      <t>ネン</t>
    </rPh>
    <rPh sb="25" eb="27">
      <t>ケイザイ</t>
    </rPh>
    <rPh sb="33" eb="35">
      <t>トウゴウ</t>
    </rPh>
    <phoneticPr fontId="5"/>
  </si>
  <si>
    <t>　　2.平成19年に日本標準産業分類が改定</t>
    <rPh sb="4" eb="6">
      <t>ヘイセイ</t>
    </rPh>
    <rPh sb="8" eb="9">
      <t>ネン</t>
    </rPh>
    <rPh sb="10" eb="12">
      <t>ニホン</t>
    </rPh>
    <rPh sb="12" eb="14">
      <t>ヒョウジュン</t>
    </rPh>
    <rPh sb="14" eb="16">
      <t>サンギョウ</t>
    </rPh>
    <rPh sb="16" eb="18">
      <t>ブンルイ</t>
    </rPh>
    <rPh sb="19" eb="21">
      <t>カイテイ</t>
    </rPh>
    <phoneticPr fontId="5"/>
  </si>
  <si>
    <t>　　3.平成28年調査以降は公務を含まない</t>
    <rPh sb="4" eb="6">
      <t>ヘイセイ</t>
    </rPh>
    <rPh sb="8" eb="9">
      <t>ネン</t>
    </rPh>
    <rPh sb="9" eb="11">
      <t>チョウサ</t>
    </rPh>
    <rPh sb="11" eb="13">
      <t>イコウ</t>
    </rPh>
    <rPh sb="14" eb="16">
      <t>コウム</t>
    </rPh>
    <rPh sb="17" eb="18">
      <t>フク</t>
    </rPh>
    <phoneticPr fontId="5"/>
  </si>
  <si>
    <t>　　4.令和元年以降基礎調査は新規把握事業所のみの集計となっているため、活動調査の数値のみ記載</t>
    <rPh sb="4" eb="6">
      <t>レイワ</t>
    </rPh>
    <rPh sb="6" eb="8">
      <t>ガンネン</t>
    </rPh>
    <rPh sb="8" eb="10">
      <t>イコウ</t>
    </rPh>
    <rPh sb="10" eb="12">
      <t>キソ</t>
    </rPh>
    <rPh sb="12" eb="14">
      <t>チョウサ</t>
    </rPh>
    <rPh sb="15" eb="17">
      <t>シンキ</t>
    </rPh>
    <rPh sb="17" eb="19">
      <t>ハアク</t>
    </rPh>
    <rPh sb="19" eb="21">
      <t>ジギョウ</t>
    </rPh>
    <rPh sb="21" eb="22">
      <t>ショ</t>
    </rPh>
    <rPh sb="25" eb="27">
      <t>シュウケイ</t>
    </rPh>
    <rPh sb="36" eb="40">
      <t>カツドウチョウサ</t>
    </rPh>
    <rPh sb="41" eb="43">
      <t>スウチ</t>
    </rPh>
    <rPh sb="45" eb="47">
      <t>キサイ</t>
    </rPh>
    <phoneticPr fontId="5"/>
  </si>
  <si>
    <t>産業大分類別従業者数</t>
    <rPh sb="0" eb="2">
      <t>サンギョウ</t>
    </rPh>
    <rPh sb="2" eb="4">
      <t>ダイブン</t>
    </rPh>
    <rPh sb="4" eb="6">
      <t>ルイベツ</t>
    </rPh>
    <rPh sb="6" eb="10">
      <t>ジュウギョウシャスウ</t>
    </rPh>
    <phoneticPr fontId="5"/>
  </si>
  <si>
    <t>従業者数</t>
    <rPh sb="0" eb="3">
      <t>ジュウギョウシャ</t>
    </rPh>
    <rPh sb="3" eb="4">
      <t>スウ</t>
    </rPh>
    <phoneticPr fontId="5"/>
  </si>
  <si>
    <t>農林漁業</t>
    <phoneticPr fontId="5"/>
  </si>
  <si>
    <t>令和3年
（活動調査）</t>
    <rPh sb="0" eb="2">
      <t>レイワ</t>
    </rPh>
    <rPh sb="6" eb="8">
      <t>カツドウ</t>
    </rPh>
    <rPh sb="8" eb="10">
      <t>チョウサ</t>
    </rPh>
    <phoneticPr fontId="5"/>
  </si>
  <si>
    <t>令和３年
（活動調査）</t>
    <rPh sb="0" eb="2">
      <t>レイワ</t>
    </rPh>
    <rPh sb="6" eb="8">
      <t>カツドウ</t>
    </rPh>
    <rPh sb="8" eb="10">
      <t>チョウサ</t>
    </rPh>
    <phoneticPr fontId="5"/>
  </si>
  <si>
    <t>産業中分類別の製造品出荷額等の推移</t>
    <rPh sb="0" eb="2">
      <t>サンギョウ</t>
    </rPh>
    <rPh sb="2" eb="3">
      <t>チュウ</t>
    </rPh>
    <rPh sb="3" eb="4">
      <t>ブン</t>
    </rPh>
    <rPh sb="4" eb="6">
      <t>ルイベツ</t>
    </rPh>
    <rPh sb="7" eb="9">
      <t>セイゾウ</t>
    </rPh>
    <rPh sb="9" eb="10">
      <t>ヒン</t>
    </rPh>
    <rPh sb="10" eb="13">
      <t>シュッカガク</t>
    </rPh>
    <rPh sb="13" eb="14">
      <t>トウ</t>
    </rPh>
    <rPh sb="15" eb="17">
      <t>スイイ</t>
    </rPh>
    <phoneticPr fontId="5"/>
  </si>
  <si>
    <t>産業分類</t>
    <rPh sb="0" eb="2">
      <t>サンギョウ</t>
    </rPh>
    <rPh sb="2" eb="4">
      <t>ブンルイ</t>
    </rPh>
    <phoneticPr fontId="5"/>
  </si>
  <si>
    <t>工場数</t>
    <rPh sb="0" eb="3">
      <t>コウジョウスウ</t>
    </rPh>
    <phoneticPr fontId="5"/>
  </si>
  <si>
    <t>出荷額等</t>
    <rPh sb="0" eb="3">
      <t>シュッカガク</t>
    </rPh>
    <rPh sb="3" eb="4">
      <t>トウ</t>
    </rPh>
    <phoneticPr fontId="5"/>
  </si>
  <si>
    <t>工場数</t>
    <rPh sb="0" eb="2">
      <t>コウジョウ</t>
    </rPh>
    <rPh sb="2" eb="3">
      <t>スウ</t>
    </rPh>
    <phoneticPr fontId="5"/>
  </si>
  <si>
    <t>出荷額等</t>
    <rPh sb="0" eb="2">
      <t>シュッカ</t>
    </rPh>
    <rPh sb="2" eb="3">
      <t>ガク</t>
    </rPh>
    <rPh sb="3" eb="4">
      <t>トウ</t>
    </rPh>
    <phoneticPr fontId="5"/>
  </si>
  <si>
    <t>工業数</t>
    <rPh sb="0" eb="2">
      <t>コウギョウ</t>
    </rPh>
    <rPh sb="2" eb="3">
      <t>スウ</t>
    </rPh>
    <phoneticPr fontId="5"/>
  </si>
  <si>
    <t>万円</t>
  </si>
  <si>
    <t>食料</t>
    <rPh sb="0" eb="2">
      <t>ショクリョウ</t>
    </rPh>
    <phoneticPr fontId="5"/>
  </si>
  <si>
    <t>飲料</t>
    <rPh sb="0" eb="2">
      <t>インリョウ</t>
    </rPh>
    <phoneticPr fontId="5"/>
  </si>
  <si>
    <t>繊維</t>
    <rPh sb="0" eb="2">
      <t>センイ</t>
    </rPh>
    <phoneticPr fontId="5"/>
  </si>
  <si>
    <t>X</t>
  </si>
  <si>
    <t>X</t>
    <phoneticPr fontId="5"/>
  </si>
  <si>
    <t>衣服</t>
    <rPh sb="0" eb="2">
      <t>イフク</t>
    </rPh>
    <phoneticPr fontId="5"/>
  </si>
  <si>
    <t>木材</t>
    <rPh sb="0" eb="2">
      <t>モクザイ</t>
    </rPh>
    <phoneticPr fontId="5"/>
  </si>
  <si>
    <t>家具</t>
    <rPh sb="0" eb="2">
      <t>カグ</t>
    </rPh>
    <phoneticPr fontId="5"/>
  </si>
  <si>
    <t>紙・パルプ</t>
    <rPh sb="0" eb="1">
      <t>カミ</t>
    </rPh>
    <phoneticPr fontId="5"/>
  </si>
  <si>
    <t>印刷</t>
    <rPh sb="0" eb="2">
      <t>インサツ</t>
    </rPh>
    <phoneticPr fontId="5"/>
  </si>
  <si>
    <t>化学</t>
    <rPh sb="0" eb="2">
      <t>カガク</t>
    </rPh>
    <phoneticPr fontId="5"/>
  </si>
  <si>
    <t>プラスチック</t>
    <phoneticPr fontId="5"/>
  </si>
  <si>
    <t>石油</t>
    <rPh sb="0" eb="2">
      <t>セキユ</t>
    </rPh>
    <phoneticPr fontId="5"/>
  </si>
  <si>
    <t>窯業</t>
    <rPh sb="0" eb="1">
      <t>カマ</t>
    </rPh>
    <rPh sb="1" eb="2">
      <t>ギョウ</t>
    </rPh>
    <phoneticPr fontId="5"/>
  </si>
  <si>
    <t>金属</t>
    <rPh sb="0" eb="2">
      <t>キンゾク</t>
    </rPh>
    <phoneticPr fontId="5"/>
  </si>
  <si>
    <t>はん用機械</t>
    <rPh sb="2" eb="3">
      <t>ヨウ</t>
    </rPh>
    <rPh sb="3" eb="5">
      <t>キカイ</t>
    </rPh>
    <phoneticPr fontId="5"/>
  </si>
  <si>
    <t>生産用機械</t>
    <rPh sb="0" eb="3">
      <t>セイサンヨウ</t>
    </rPh>
    <rPh sb="3" eb="5">
      <t>キカイ</t>
    </rPh>
    <phoneticPr fontId="5"/>
  </si>
  <si>
    <t>業務用機械</t>
    <rPh sb="0" eb="3">
      <t>ギョウムヨウ</t>
    </rPh>
    <rPh sb="3" eb="5">
      <t>キカイ</t>
    </rPh>
    <phoneticPr fontId="5"/>
  </si>
  <si>
    <t>電子</t>
    <rPh sb="0" eb="2">
      <t>デンシ</t>
    </rPh>
    <phoneticPr fontId="5"/>
  </si>
  <si>
    <t>電気</t>
    <rPh sb="0" eb="2">
      <t>デンキ</t>
    </rPh>
    <phoneticPr fontId="5"/>
  </si>
  <si>
    <t>情報</t>
    <rPh sb="0" eb="2">
      <t>ジョウホウ</t>
    </rPh>
    <phoneticPr fontId="5"/>
  </si>
  <si>
    <t>輸送</t>
    <rPh sb="0" eb="2">
      <t>ユソウ</t>
    </rPh>
    <phoneticPr fontId="5"/>
  </si>
  <si>
    <t>精密</t>
    <rPh sb="0" eb="2">
      <t>セイミツ</t>
    </rPh>
    <phoneticPr fontId="5"/>
  </si>
  <si>
    <t>資料 ：平成29年～令和元年は工業統計調査、平成28年・令和３年は経済センサス活動調査</t>
    <rPh sb="0" eb="2">
      <t>シリョウ</t>
    </rPh>
    <rPh sb="4" eb="6">
      <t>ヘイセイ</t>
    </rPh>
    <rPh sb="8" eb="9">
      <t>ネン</t>
    </rPh>
    <rPh sb="10" eb="12">
      <t>レイワ</t>
    </rPh>
    <rPh sb="12" eb="14">
      <t>ガンネン</t>
    </rPh>
    <rPh sb="15" eb="17">
      <t>コウギョウ</t>
    </rPh>
    <rPh sb="17" eb="21">
      <t>トウケイチョウサ</t>
    </rPh>
    <rPh sb="22" eb="24">
      <t>ヘイセイ</t>
    </rPh>
    <rPh sb="26" eb="27">
      <t>ネン</t>
    </rPh>
    <rPh sb="28" eb="30">
      <t>レイワ</t>
    </rPh>
    <rPh sb="31" eb="32">
      <t>ネン</t>
    </rPh>
    <rPh sb="33" eb="35">
      <t>ケイザイ</t>
    </rPh>
    <rPh sb="39" eb="41">
      <t>カツドウ</t>
    </rPh>
    <rPh sb="41" eb="43">
      <t>チョウサ</t>
    </rPh>
    <phoneticPr fontId="5"/>
  </si>
  <si>
    <t>注）1.従業者数が4人以上の事業所が対象</t>
    <phoneticPr fontId="5"/>
  </si>
  <si>
    <t>各年6月1日現在</t>
    <rPh sb="0" eb="2">
      <t>カクトシ</t>
    </rPh>
    <rPh sb="3" eb="4">
      <t>ガツ</t>
    </rPh>
    <rPh sb="5" eb="6">
      <t>ニチ</t>
    </rPh>
    <rPh sb="6" eb="8">
      <t>ゲンザイ</t>
    </rPh>
    <phoneticPr fontId="5"/>
  </si>
  <si>
    <t>年   次</t>
    <rPh sb="0" eb="5">
      <t>ネンジ</t>
    </rPh>
    <phoneticPr fontId="5"/>
  </si>
  <si>
    <t>従業者数</t>
    <rPh sb="0" eb="2">
      <t>ジュウギョウ</t>
    </rPh>
    <rPh sb="2" eb="3">
      <t>シャ</t>
    </rPh>
    <rPh sb="3" eb="4">
      <t>スウ</t>
    </rPh>
    <phoneticPr fontId="5"/>
  </si>
  <si>
    <t>製造品出荷額等</t>
    <rPh sb="0" eb="2">
      <t>セイゾウ</t>
    </rPh>
    <rPh sb="2" eb="3">
      <t>ヒン</t>
    </rPh>
    <rPh sb="3" eb="6">
      <t>シュッカガク</t>
    </rPh>
    <rPh sb="6" eb="7">
      <t>トウ</t>
    </rPh>
    <phoneticPr fontId="5"/>
  </si>
  <si>
    <t>1事業所当り</t>
    <rPh sb="1" eb="4">
      <t>ジギョウショ</t>
    </rPh>
    <rPh sb="4" eb="5">
      <t>アタ</t>
    </rPh>
    <phoneticPr fontId="5"/>
  </si>
  <si>
    <t>1従業者当り</t>
    <rPh sb="1" eb="4">
      <t>ジュウギョウシャ</t>
    </rPh>
    <rPh sb="4" eb="5">
      <t>アタ</t>
    </rPh>
    <phoneticPr fontId="5"/>
  </si>
  <si>
    <t>従業員</t>
    <rPh sb="0" eb="3">
      <t>ジュウギョウイン</t>
    </rPh>
    <phoneticPr fontId="5"/>
  </si>
  <si>
    <t>出荷額</t>
    <rPh sb="0" eb="3">
      <t>シュッカガク</t>
    </rPh>
    <phoneticPr fontId="5"/>
  </si>
  <si>
    <t>対前年比</t>
    <rPh sb="0" eb="3">
      <t>タイゼンネン</t>
    </rPh>
    <rPh sb="3" eb="4">
      <t>ヒ</t>
    </rPh>
    <phoneticPr fontId="5"/>
  </si>
  <si>
    <t>万円</t>
    <rPh sb="0" eb="2">
      <t>マンエン</t>
    </rPh>
    <phoneticPr fontId="5"/>
  </si>
  <si>
    <t>平成25</t>
    <rPh sb="0" eb="2">
      <t>ヘイセイ</t>
    </rPh>
    <phoneticPr fontId="5"/>
  </si>
  <si>
    <t>平成28年</t>
    <rPh sb="4" eb="5">
      <t>ネン</t>
    </rPh>
    <phoneticPr fontId="5"/>
  </si>
  <si>
    <t>平成29年</t>
    <rPh sb="4" eb="5">
      <t>ネン</t>
    </rPh>
    <phoneticPr fontId="5"/>
  </si>
  <si>
    <t>平成30年</t>
    <rPh sb="4" eb="5">
      <t>ネン</t>
    </rPh>
    <phoneticPr fontId="5"/>
  </si>
  <si>
    <t>資料：令和元～２年は工業統計調査、令和３年は経済センサス活動調査、令和４～５年は経済構造実態調査</t>
    <rPh sb="0" eb="2">
      <t>シリョウ</t>
    </rPh>
    <rPh sb="3" eb="5">
      <t>レイワ</t>
    </rPh>
    <rPh sb="5" eb="6">
      <t>ガン</t>
    </rPh>
    <rPh sb="8" eb="9">
      <t>ネン</t>
    </rPh>
    <rPh sb="10" eb="12">
      <t>コウギョウ</t>
    </rPh>
    <rPh sb="12" eb="16">
      <t>トウケイチョウサ</t>
    </rPh>
    <rPh sb="17" eb="19">
      <t>レイワ</t>
    </rPh>
    <rPh sb="20" eb="21">
      <t>ネン</t>
    </rPh>
    <rPh sb="22" eb="24">
      <t>ケイザイ</t>
    </rPh>
    <rPh sb="28" eb="30">
      <t>カツドウ</t>
    </rPh>
    <rPh sb="30" eb="32">
      <t>チョウサ</t>
    </rPh>
    <rPh sb="33" eb="35">
      <t>レイワ</t>
    </rPh>
    <rPh sb="38" eb="39">
      <t>ネン</t>
    </rPh>
    <rPh sb="40" eb="42">
      <t>ケイザイ</t>
    </rPh>
    <rPh sb="42" eb="44">
      <t>コウゾウ</t>
    </rPh>
    <rPh sb="44" eb="46">
      <t>ジッタイ</t>
    </rPh>
    <rPh sb="46" eb="48">
      <t>チョウサ</t>
    </rPh>
    <phoneticPr fontId="5"/>
  </si>
  <si>
    <t>注）1.従業者数4人以上の事業所が対象</t>
    <phoneticPr fontId="5"/>
  </si>
  <si>
    <t>年次別の工場数・従業者数・製造品出荷額等の推移</t>
    <phoneticPr fontId="4"/>
  </si>
  <si>
    <t>商　業　の　推　移</t>
    <rPh sb="0" eb="1">
      <t>ショウ</t>
    </rPh>
    <rPh sb="2" eb="3">
      <t>ギョウ</t>
    </rPh>
    <rPh sb="6" eb="7">
      <t>スイ</t>
    </rPh>
    <rPh sb="8" eb="9">
      <t>ワタル</t>
    </rPh>
    <phoneticPr fontId="5"/>
  </si>
  <si>
    <t>商店数</t>
    <rPh sb="0" eb="3">
      <t>ショウテンスウスウ</t>
    </rPh>
    <phoneticPr fontId="5"/>
  </si>
  <si>
    <t>年間商品</t>
    <rPh sb="0" eb="2">
      <t>ネンカン</t>
    </rPh>
    <rPh sb="2" eb="4">
      <t>ショウヒン</t>
    </rPh>
    <phoneticPr fontId="5"/>
  </si>
  <si>
    <t>その他の</t>
    <rPh sb="0" eb="3">
      <t>ソノタ</t>
    </rPh>
    <phoneticPr fontId="5"/>
  </si>
  <si>
    <t>商品</t>
    <rPh sb="0" eb="2">
      <t>ショウヒン</t>
    </rPh>
    <phoneticPr fontId="5"/>
  </si>
  <si>
    <t>1商店当たり</t>
    <rPh sb="1" eb="3">
      <t>ショウテン</t>
    </rPh>
    <rPh sb="3" eb="4">
      <t>ア</t>
    </rPh>
    <phoneticPr fontId="5"/>
  </si>
  <si>
    <t>1人当たり</t>
    <rPh sb="0" eb="2">
      <t>ヒトリ</t>
    </rPh>
    <rPh sb="2" eb="3">
      <t>ア</t>
    </rPh>
    <phoneticPr fontId="5"/>
  </si>
  <si>
    <t>販売額</t>
    <rPh sb="0" eb="2">
      <t>ハンバイ</t>
    </rPh>
    <rPh sb="2" eb="3">
      <t>ガク</t>
    </rPh>
    <phoneticPr fontId="5"/>
  </si>
  <si>
    <t>収入額</t>
    <rPh sb="0" eb="2">
      <t>シュウニュウ</t>
    </rPh>
    <rPh sb="2" eb="3">
      <t>ガク</t>
    </rPh>
    <phoneticPr fontId="5"/>
  </si>
  <si>
    <t>手持額</t>
    <rPh sb="0" eb="1">
      <t>テ</t>
    </rPh>
    <rPh sb="1" eb="2">
      <t>モ</t>
    </rPh>
    <rPh sb="2" eb="3">
      <t>ガク</t>
    </rPh>
    <phoneticPr fontId="5"/>
  </si>
  <si>
    <t>従業者</t>
    <rPh sb="0" eb="3">
      <t>ジュウギョウシャ</t>
    </rPh>
    <phoneticPr fontId="5"/>
  </si>
  <si>
    <t>平成3年</t>
    <rPh sb="0" eb="2">
      <t>ヘイセイ</t>
    </rPh>
    <rPh sb="2" eb="4">
      <t>３ネン</t>
    </rPh>
    <phoneticPr fontId="5"/>
  </si>
  <si>
    <t>資料 ：商業統計調査、経済センサス（平成24年、28年、令和３年）</t>
    <rPh sb="0" eb="2">
      <t>シリョウ</t>
    </rPh>
    <rPh sb="4" eb="10">
      <t>ショウギョウトウケイチョウサ</t>
    </rPh>
    <rPh sb="26" eb="27">
      <t>ネン</t>
    </rPh>
    <rPh sb="28" eb="30">
      <t>レイワ</t>
    </rPh>
    <rPh sb="31" eb="32">
      <t>ネン</t>
    </rPh>
    <phoneticPr fontId="5"/>
  </si>
  <si>
    <t>注）1．昭和54、57年の従業者数及び年間商品販売額は飲食店のうちバー、酒場等を除く</t>
    <rPh sb="0" eb="1">
      <t>チュウ</t>
    </rPh>
    <rPh sb="4" eb="6">
      <t>ショウワ</t>
    </rPh>
    <rPh sb="9" eb="12">
      <t>５７ネン</t>
    </rPh>
    <rPh sb="13" eb="15">
      <t>ジュウギョウ</t>
    </rPh>
    <rPh sb="15" eb="16">
      <t>シャ</t>
    </rPh>
    <rPh sb="16" eb="17">
      <t>スウ</t>
    </rPh>
    <rPh sb="17" eb="18">
      <t>オヨ</t>
    </rPh>
    <rPh sb="19" eb="21">
      <t>ネンカン</t>
    </rPh>
    <rPh sb="21" eb="23">
      <t>ショウヒン</t>
    </rPh>
    <rPh sb="23" eb="26">
      <t>ハンバイガク</t>
    </rPh>
    <rPh sb="27" eb="30">
      <t>インショクテン</t>
    </rPh>
    <rPh sb="36" eb="38">
      <t>サカバ</t>
    </rPh>
    <rPh sb="38" eb="39">
      <t>トウ</t>
    </rPh>
    <rPh sb="40" eb="41">
      <t>ノゾ</t>
    </rPh>
    <phoneticPr fontId="5"/>
  </si>
  <si>
    <t>　　2．昭和60年以降は飲食店を除く</t>
    <rPh sb="4" eb="6">
      <t>ショウワ</t>
    </rPh>
    <rPh sb="8" eb="9">
      <t>ネン</t>
    </rPh>
    <rPh sb="9" eb="11">
      <t>イコウ</t>
    </rPh>
    <rPh sb="12" eb="15">
      <t>インショクテン</t>
    </rPh>
    <rPh sb="16" eb="17">
      <t>ノゾ</t>
    </rPh>
    <phoneticPr fontId="5"/>
  </si>
  <si>
    <t>　　3．平成24、28年は経済センサス-活動調査の結果のうち卸売業・小売業について長野県が独自集計した数値</t>
    <rPh sb="51" eb="53">
      <t>スウチ</t>
    </rPh>
    <phoneticPr fontId="5"/>
  </si>
  <si>
    <t>　　4. 商業統計調査が平成26年を最後に廃止となったため、平成28年以降は経済センサス活動調査の数値を記載</t>
    <rPh sb="5" eb="9">
      <t>ショウギョウトウケイ</t>
    </rPh>
    <rPh sb="9" eb="11">
      <t>チョウサ</t>
    </rPh>
    <rPh sb="12" eb="14">
      <t>ヘイセイ</t>
    </rPh>
    <rPh sb="16" eb="17">
      <t>ネン</t>
    </rPh>
    <rPh sb="18" eb="20">
      <t>サイゴ</t>
    </rPh>
    <rPh sb="21" eb="23">
      <t>ハイシ</t>
    </rPh>
    <rPh sb="30" eb="32">
      <t>ヘイセイ</t>
    </rPh>
    <rPh sb="34" eb="35">
      <t>ネン</t>
    </rPh>
    <rPh sb="35" eb="37">
      <t>イコウ</t>
    </rPh>
    <rPh sb="38" eb="40">
      <t>ケイザイ</t>
    </rPh>
    <rPh sb="44" eb="46">
      <t>カツドウ</t>
    </rPh>
    <rPh sb="46" eb="48">
      <t>チョウサ</t>
    </rPh>
    <rPh sb="49" eb="51">
      <t>スウチ</t>
    </rPh>
    <rPh sb="52" eb="54">
      <t>キサイ</t>
    </rPh>
    <phoneticPr fontId="5"/>
  </si>
  <si>
    <t>産業中分類別年間商品販売額の推移（卸売・小売業）</t>
    <rPh sb="0" eb="2">
      <t>サンギョウ</t>
    </rPh>
    <rPh sb="2" eb="3">
      <t>チュウ</t>
    </rPh>
    <rPh sb="3" eb="4">
      <t>ブン</t>
    </rPh>
    <rPh sb="4" eb="6">
      <t>ルイベツ</t>
    </rPh>
    <rPh sb="6" eb="8">
      <t>ネンカン</t>
    </rPh>
    <rPh sb="8" eb="10">
      <t>ショウヒン</t>
    </rPh>
    <rPh sb="10" eb="12">
      <t>ハンバイ</t>
    </rPh>
    <rPh sb="12" eb="13">
      <t>ガク</t>
    </rPh>
    <rPh sb="14" eb="16">
      <t>スイイ</t>
    </rPh>
    <rPh sb="17" eb="18">
      <t>オロシ</t>
    </rPh>
    <rPh sb="18" eb="19">
      <t>ウ</t>
    </rPh>
    <rPh sb="20" eb="23">
      <t>コウリギョウ</t>
    </rPh>
    <phoneticPr fontId="5"/>
  </si>
  <si>
    <t>昭和60年（5月1日）</t>
    <rPh sb="0" eb="2">
      <t>ショウワ</t>
    </rPh>
    <rPh sb="4" eb="5">
      <t>ネン</t>
    </rPh>
    <rPh sb="7" eb="8">
      <t>ガツ</t>
    </rPh>
    <rPh sb="9" eb="10">
      <t>ニチ</t>
    </rPh>
    <phoneticPr fontId="5"/>
  </si>
  <si>
    <t>昭和63年（6月1日）</t>
    <rPh sb="0" eb="2">
      <t>ショウワ</t>
    </rPh>
    <rPh sb="4" eb="5">
      <t>ネン</t>
    </rPh>
    <rPh sb="7" eb="8">
      <t>ガツ</t>
    </rPh>
    <rPh sb="9" eb="10">
      <t>ニチ</t>
    </rPh>
    <phoneticPr fontId="5"/>
  </si>
  <si>
    <t>平成3年（7月1日）</t>
    <rPh sb="0" eb="2">
      <t>ヘイセイ</t>
    </rPh>
    <rPh sb="3" eb="4">
      <t>ネン</t>
    </rPh>
    <rPh sb="6" eb="7">
      <t>ガツ</t>
    </rPh>
    <rPh sb="8" eb="9">
      <t>ニチ</t>
    </rPh>
    <phoneticPr fontId="5"/>
  </si>
  <si>
    <t>平成6年（7月1日）　</t>
    <rPh sb="0" eb="2">
      <t>ヘイセイ</t>
    </rPh>
    <rPh sb="3" eb="4">
      <t>ネン</t>
    </rPh>
    <rPh sb="6" eb="7">
      <t>ガツ</t>
    </rPh>
    <rPh sb="8" eb="9">
      <t>ニチ</t>
    </rPh>
    <phoneticPr fontId="5"/>
  </si>
  <si>
    <t>産業中分類</t>
    <rPh sb="0" eb="2">
      <t>サンギョウ</t>
    </rPh>
    <rPh sb="2" eb="3">
      <t>チュウ</t>
    </rPh>
    <rPh sb="3" eb="5">
      <t>ブンルイ</t>
    </rPh>
    <phoneticPr fontId="5"/>
  </si>
  <si>
    <t>商店数</t>
    <rPh sb="0" eb="3">
      <t>ショウテンスウ</t>
    </rPh>
    <phoneticPr fontId="5"/>
  </si>
  <si>
    <t>販　売　額</t>
    <rPh sb="0" eb="5">
      <t>ハンバイガク</t>
    </rPh>
    <phoneticPr fontId="5"/>
  </si>
  <si>
    <t>卸売業</t>
    <rPh sb="0" eb="3">
      <t>オロシウリギョウ</t>
    </rPh>
    <phoneticPr fontId="5"/>
  </si>
  <si>
    <t>各種商品小売業</t>
    <rPh sb="0" eb="2">
      <t>カクシュ</t>
    </rPh>
    <rPh sb="2" eb="4">
      <t>ショウヒン</t>
    </rPh>
    <rPh sb="4" eb="7">
      <t>コウリギョウ</t>
    </rPh>
    <phoneticPr fontId="5"/>
  </si>
  <si>
    <t xml:space="preserve">        X</t>
    <phoneticPr fontId="5"/>
  </si>
  <si>
    <t>織物・衣服・身の回り品小売業</t>
    <rPh sb="0" eb="1">
      <t>オリモ</t>
    </rPh>
    <rPh sb="1" eb="2">
      <t>モノ</t>
    </rPh>
    <rPh sb="3" eb="5">
      <t>イフク</t>
    </rPh>
    <rPh sb="6" eb="7">
      <t>ミ</t>
    </rPh>
    <rPh sb="8" eb="9">
      <t>マワ</t>
    </rPh>
    <rPh sb="10" eb="11">
      <t>ヒン</t>
    </rPh>
    <rPh sb="11" eb="14">
      <t>コウリギョウ</t>
    </rPh>
    <phoneticPr fontId="5"/>
  </si>
  <si>
    <t>飲食料品小売業</t>
    <rPh sb="0" eb="2">
      <t>インショク</t>
    </rPh>
    <rPh sb="2" eb="3">
      <t>リョウ</t>
    </rPh>
    <rPh sb="3" eb="4">
      <t>シナ</t>
    </rPh>
    <rPh sb="4" eb="7">
      <t>コウリギョウ</t>
    </rPh>
    <phoneticPr fontId="5"/>
  </si>
  <si>
    <t>自動車・自転車小売業</t>
    <rPh sb="0" eb="3">
      <t>ジドウシャ</t>
    </rPh>
    <rPh sb="4" eb="7">
      <t>ジテンシャ</t>
    </rPh>
    <rPh sb="7" eb="10">
      <t>コウリギョウ</t>
    </rPh>
    <phoneticPr fontId="5"/>
  </si>
  <si>
    <t>家具建具什器小売業</t>
    <rPh sb="0" eb="2">
      <t>カグ</t>
    </rPh>
    <rPh sb="2" eb="3">
      <t>ケン</t>
    </rPh>
    <rPh sb="3" eb="4">
      <t>グ</t>
    </rPh>
    <rPh sb="5" eb="6">
      <t>キ</t>
    </rPh>
    <rPh sb="6" eb="8">
      <t>コウリ</t>
    </rPh>
    <rPh sb="8" eb="9">
      <t>ギョウ</t>
    </rPh>
    <phoneticPr fontId="5"/>
  </si>
  <si>
    <t>その他の小売業</t>
    <rPh sb="2" eb="3">
      <t>タ</t>
    </rPh>
    <rPh sb="4" eb="7">
      <t>コウリギョウ</t>
    </rPh>
    <phoneticPr fontId="5"/>
  </si>
  <si>
    <t>平成9年（6月1日）</t>
    <rPh sb="0" eb="2">
      <t>ヘイセイ</t>
    </rPh>
    <rPh sb="3" eb="4">
      <t>ネン</t>
    </rPh>
    <rPh sb="6" eb="7">
      <t>ガツ</t>
    </rPh>
    <rPh sb="8" eb="9">
      <t>ニチ</t>
    </rPh>
    <phoneticPr fontId="5"/>
  </si>
  <si>
    <t>平成14年（6月1日）</t>
    <rPh sb="0" eb="2">
      <t>ヘイセイ</t>
    </rPh>
    <rPh sb="4" eb="5">
      <t>トシ</t>
    </rPh>
    <rPh sb="7" eb="8">
      <t>ガツ</t>
    </rPh>
    <rPh sb="9" eb="10">
      <t>ニチ</t>
    </rPh>
    <phoneticPr fontId="5"/>
  </si>
  <si>
    <t>平成16年（6月1日）</t>
    <rPh sb="0" eb="2">
      <t>ヘイセイ</t>
    </rPh>
    <rPh sb="4" eb="5">
      <t>トシ</t>
    </rPh>
    <rPh sb="7" eb="8">
      <t>ガツ</t>
    </rPh>
    <rPh sb="9" eb="10">
      <t>ニチ</t>
    </rPh>
    <phoneticPr fontId="5"/>
  </si>
  <si>
    <t>平成19年（7月1日）</t>
    <rPh sb="0" eb="2">
      <t>ヘイセイ</t>
    </rPh>
    <rPh sb="4" eb="5">
      <t>トシ</t>
    </rPh>
    <rPh sb="7" eb="8">
      <t>ガツ</t>
    </rPh>
    <rPh sb="9" eb="10">
      <t>ニチ</t>
    </rPh>
    <phoneticPr fontId="5"/>
  </si>
  <si>
    <t>平成24年（6月1日）</t>
    <rPh sb="0" eb="2">
      <t>ヘイセイ</t>
    </rPh>
    <rPh sb="4" eb="5">
      <t>ネン</t>
    </rPh>
    <rPh sb="7" eb="8">
      <t>ガツ</t>
    </rPh>
    <rPh sb="9" eb="10">
      <t>ニチ</t>
    </rPh>
    <phoneticPr fontId="5"/>
  </si>
  <si>
    <t>平成26年（6月1日）</t>
    <rPh sb="0" eb="2">
      <t>ヘイセイ</t>
    </rPh>
    <rPh sb="4" eb="5">
      <t>ネン</t>
    </rPh>
    <rPh sb="7" eb="8">
      <t>ガツ</t>
    </rPh>
    <rPh sb="9" eb="10">
      <t>ニチ</t>
    </rPh>
    <phoneticPr fontId="5"/>
  </si>
  <si>
    <t>平成28年（6月1日）</t>
    <rPh sb="0" eb="2">
      <t>ヘイセイ</t>
    </rPh>
    <rPh sb="4" eb="5">
      <t>トシ</t>
    </rPh>
    <rPh sb="7" eb="8">
      <t>ガツ</t>
    </rPh>
    <rPh sb="9" eb="10">
      <t>ニチ</t>
    </rPh>
    <phoneticPr fontId="5"/>
  </si>
  <si>
    <t>令和3年（6月1日）</t>
    <rPh sb="3" eb="4">
      <t>トシ</t>
    </rPh>
    <rPh sb="6" eb="7">
      <t>ガツ</t>
    </rPh>
    <rPh sb="8" eb="9">
      <t>ニチ</t>
    </rPh>
    <phoneticPr fontId="5"/>
  </si>
  <si>
    <t>各種商品小売業</t>
    <phoneticPr fontId="5"/>
  </si>
  <si>
    <t>織物・衣服・身の回り品小売業</t>
    <phoneticPr fontId="5"/>
  </si>
  <si>
    <t>飲食料品小売業</t>
    <phoneticPr fontId="5"/>
  </si>
  <si>
    <t>機械器具小売業</t>
    <rPh sb="0" eb="2">
      <t>キカイ</t>
    </rPh>
    <rPh sb="2" eb="4">
      <t>キグ</t>
    </rPh>
    <rPh sb="4" eb="7">
      <t>コウリギョウ</t>
    </rPh>
    <phoneticPr fontId="5"/>
  </si>
  <si>
    <t>その他の小売業</t>
    <rPh sb="2" eb="3">
      <t>ホカ</t>
    </rPh>
    <rPh sb="4" eb="7">
      <t>コウリギョウ</t>
    </rPh>
    <phoneticPr fontId="5"/>
  </si>
  <si>
    <t>無店舗小売業</t>
    <rPh sb="0" eb="3">
      <t>ムテンポ</t>
    </rPh>
    <rPh sb="3" eb="6">
      <t>コウリギョウ</t>
    </rPh>
    <phoneticPr fontId="5"/>
  </si>
  <si>
    <t>資料：商業統計調査、経済センサス</t>
    <rPh sb="0" eb="2">
      <t>シリョウ</t>
    </rPh>
    <rPh sb="3" eb="9">
      <t>ショウギョウトウケイチョウサ</t>
    </rPh>
    <rPh sb="10" eb="12">
      <t>ケイザイ</t>
    </rPh>
    <phoneticPr fontId="5"/>
  </si>
  <si>
    <t>注）1. 表中のXは伏数値。</t>
    <phoneticPr fontId="5"/>
  </si>
  <si>
    <t xml:space="preserve">　　2.(　)内の数値はXの数字を含まないため、総数と一致しない。 </t>
    <phoneticPr fontId="5"/>
  </si>
  <si>
    <t>　　3.平成24、28年は経済センサス-活動調査の結果のうち卸売業・小売業について長野県が独自集計した数値のため産業中分類が異なる。</t>
    <phoneticPr fontId="5"/>
  </si>
  <si>
    <t>学　校　総　覧</t>
    <rPh sb="0" eb="3">
      <t>ガッコウ</t>
    </rPh>
    <rPh sb="4" eb="7">
      <t>ソウラン</t>
    </rPh>
    <phoneticPr fontId="5"/>
  </si>
  <si>
    <t>令和5年5月1日現在</t>
    <rPh sb="0" eb="1">
      <t>レイ</t>
    </rPh>
    <rPh sb="1" eb="2">
      <t>カズ</t>
    </rPh>
    <rPh sb="3" eb="4">
      <t>ネン</t>
    </rPh>
    <rPh sb="4" eb="5">
      <t>ヘイネン</t>
    </rPh>
    <rPh sb="5" eb="6">
      <t>ガツ</t>
    </rPh>
    <rPh sb="6" eb="8">
      <t>１ニチ</t>
    </rPh>
    <rPh sb="8" eb="10">
      <t>ゲンザイ</t>
    </rPh>
    <phoneticPr fontId="5"/>
  </si>
  <si>
    <t>学　校　名</t>
    <rPh sb="0" eb="3">
      <t>ガッコウ</t>
    </rPh>
    <rPh sb="4" eb="5">
      <t>メイ</t>
    </rPh>
    <phoneticPr fontId="5"/>
  </si>
  <si>
    <t>創立年月日</t>
    <rPh sb="0" eb="2">
      <t>ソウリツ</t>
    </rPh>
    <rPh sb="2" eb="3">
      <t>ネンガ</t>
    </rPh>
    <rPh sb="3" eb="5">
      <t>ガッピ</t>
    </rPh>
    <phoneticPr fontId="5"/>
  </si>
  <si>
    <t>児　　童　　生　　徒　　数</t>
    <rPh sb="0" eb="4">
      <t>ジドウ</t>
    </rPh>
    <rPh sb="6" eb="13">
      <t>セイトスウ</t>
    </rPh>
    <phoneticPr fontId="5"/>
  </si>
  <si>
    <t>一般校舎
面　　積</t>
    <rPh sb="0" eb="2">
      <t>イッパン</t>
    </rPh>
    <rPh sb="2" eb="4">
      <t>コウシャ</t>
    </rPh>
    <rPh sb="5" eb="6">
      <t>メン</t>
    </rPh>
    <rPh sb="8" eb="9">
      <t>セキ</t>
    </rPh>
    <phoneticPr fontId="5"/>
  </si>
  <si>
    <t>屋　内
運動場
講堂面積</t>
    <rPh sb="0" eb="1">
      <t>ヤ</t>
    </rPh>
    <rPh sb="2" eb="3">
      <t>ウチ</t>
    </rPh>
    <rPh sb="4" eb="7">
      <t>ウンドウジョウ</t>
    </rPh>
    <rPh sb="8" eb="10">
      <t>コウドウ</t>
    </rPh>
    <rPh sb="10" eb="12">
      <t>メンセキ</t>
    </rPh>
    <phoneticPr fontId="5"/>
  </si>
  <si>
    <t>屋　外
運動場</t>
    <rPh sb="0" eb="1">
      <t>ヤ</t>
    </rPh>
    <rPh sb="2" eb="3">
      <t>ソト</t>
    </rPh>
    <rPh sb="4" eb="7">
      <t>ウンドウジョウ</t>
    </rPh>
    <phoneticPr fontId="5"/>
  </si>
  <si>
    <t>（令和５年５月１日現在）</t>
    <rPh sb="1" eb="2">
      <t>レイ</t>
    </rPh>
    <rPh sb="2" eb="3">
      <t>カズ</t>
    </rPh>
    <rPh sb="4" eb="5">
      <t>ネン</t>
    </rPh>
    <rPh sb="5" eb="6">
      <t>ヘイネン</t>
    </rPh>
    <rPh sb="6" eb="7">
      <t>ガツ</t>
    </rPh>
    <rPh sb="8" eb="9">
      <t>ニチ</t>
    </rPh>
    <rPh sb="9" eb="11">
      <t>ゲンザイ</t>
    </rPh>
    <phoneticPr fontId="5"/>
  </si>
  <si>
    <t>大町東小学校</t>
    <rPh sb="0" eb="2">
      <t>オオマチ</t>
    </rPh>
    <rPh sb="2" eb="3">
      <t>ヒガシ</t>
    </rPh>
    <rPh sb="3" eb="6">
      <t>ショウガッコウ</t>
    </rPh>
    <phoneticPr fontId="5"/>
  </si>
  <si>
    <t>S56.  4.  1</t>
  </si>
  <si>
    <t>大町西小学校</t>
    <rPh sb="0" eb="2">
      <t>オオマチ</t>
    </rPh>
    <rPh sb="2" eb="3">
      <t>ニシ</t>
    </rPh>
    <rPh sb="3" eb="6">
      <t>ショウガッコウ</t>
    </rPh>
    <phoneticPr fontId="5"/>
  </si>
  <si>
    <t>S59.  4.  1</t>
  </si>
  <si>
    <t>大町南小学校</t>
    <rPh sb="0" eb="2">
      <t>オオマチ</t>
    </rPh>
    <rPh sb="2" eb="3">
      <t>ミナミ</t>
    </rPh>
    <rPh sb="3" eb="6">
      <t>ショウガッコウ</t>
    </rPh>
    <phoneticPr fontId="5"/>
  </si>
  <si>
    <t>S62.  4.  1</t>
  </si>
  <si>
    <t>大町北小学校</t>
    <rPh sb="0" eb="2">
      <t>オオマチ</t>
    </rPh>
    <rPh sb="2" eb="3">
      <t>キタ</t>
    </rPh>
    <rPh sb="3" eb="6">
      <t>ショウガッコウ</t>
    </rPh>
    <phoneticPr fontId="5"/>
  </si>
  <si>
    <t>S52.  4.  1</t>
  </si>
  <si>
    <t>八坂小学校</t>
    <rPh sb="0" eb="2">
      <t>ヤサカ</t>
    </rPh>
    <rPh sb="2" eb="5">
      <t>ショウガッコウ</t>
    </rPh>
    <phoneticPr fontId="5"/>
  </si>
  <si>
    <t>S61.  4.  1</t>
  </si>
  <si>
    <t>※令和５年３月廃校</t>
    <rPh sb="1" eb="3">
      <t>レイワ</t>
    </rPh>
    <rPh sb="7" eb="9">
      <t>ハイコウ</t>
    </rPh>
    <phoneticPr fontId="5"/>
  </si>
  <si>
    <t>第一中学校</t>
    <rPh sb="0" eb="2">
      <t>ダイイチ</t>
    </rPh>
    <rPh sb="2" eb="5">
      <t>チュウガッコウ</t>
    </rPh>
    <phoneticPr fontId="5"/>
  </si>
  <si>
    <t>S34.  4.  1</t>
  </si>
  <si>
    <t>※令和５年３月廃校</t>
    <rPh sb="6" eb="7">
      <t>ガツ</t>
    </rPh>
    <rPh sb="7" eb="9">
      <t>ハイコウ</t>
    </rPh>
    <phoneticPr fontId="5"/>
  </si>
  <si>
    <t>仁科台中学校</t>
    <rPh sb="0" eb="2">
      <t>ニシナ</t>
    </rPh>
    <rPh sb="2" eb="3">
      <t>ダイ</t>
    </rPh>
    <rPh sb="3" eb="6">
      <t>チュウガッコウ</t>
    </rPh>
    <phoneticPr fontId="5"/>
  </si>
  <si>
    <t>S40.  4.  1</t>
  </si>
  <si>
    <t>※令和５年３月廃校</t>
    <rPh sb="7" eb="9">
      <t>ハイコウ</t>
    </rPh>
    <phoneticPr fontId="5"/>
  </si>
  <si>
    <t>八坂中学校</t>
    <rPh sb="0" eb="2">
      <t>ヤサカ</t>
    </rPh>
    <rPh sb="2" eb="5">
      <t>チュウガッコウ</t>
    </rPh>
    <phoneticPr fontId="5"/>
  </si>
  <si>
    <t>S22.  4.  1</t>
  </si>
  <si>
    <t>大町中学校</t>
    <rPh sb="0" eb="2">
      <t>オオマチ</t>
    </rPh>
    <rPh sb="2" eb="5">
      <t>チュウガッコウ</t>
    </rPh>
    <phoneticPr fontId="5"/>
  </si>
  <si>
    <t>R 5.  4.  1</t>
  </si>
  <si>
    <t>八坂小中学校</t>
    <rPh sb="0" eb="2">
      <t>ヤサカ</t>
    </rPh>
    <rPh sb="2" eb="3">
      <t>ショウ</t>
    </rPh>
    <rPh sb="3" eb="6">
      <t>チュウガッコウ</t>
    </rPh>
    <phoneticPr fontId="5"/>
  </si>
  <si>
    <t>美麻小中学校</t>
    <rPh sb="0" eb="2">
      <t>ミアサ</t>
    </rPh>
    <rPh sb="2" eb="3">
      <t>ショウ</t>
    </rPh>
    <rPh sb="3" eb="6">
      <t>チュウガッコウ</t>
    </rPh>
    <phoneticPr fontId="5"/>
  </si>
  <si>
    <t>大町岳陽高等学校</t>
    <rPh sb="0" eb="2">
      <t>オオマチ</t>
    </rPh>
    <rPh sb="2" eb="4">
      <t>ガクヨウ</t>
    </rPh>
    <rPh sb="4" eb="6">
      <t>コウトウ</t>
    </rPh>
    <rPh sb="6" eb="8">
      <t>ガッコウ</t>
    </rPh>
    <phoneticPr fontId="5"/>
  </si>
  <si>
    <t>H28.　4.　1</t>
    <phoneticPr fontId="5"/>
  </si>
  <si>
    <t>大町幼稚園</t>
    <rPh sb="0" eb="2">
      <t>オオマチ</t>
    </rPh>
    <rPh sb="2" eb="5">
      <t>ヨウチエン</t>
    </rPh>
    <phoneticPr fontId="5"/>
  </si>
  <si>
    <t>S 9.  3. 15</t>
    <phoneticPr fontId="5"/>
  </si>
  <si>
    <t>こまくさ幼稚園</t>
    <rPh sb="4" eb="7">
      <t>ヨウチエン</t>
    </rPh>
    <phoneticPr fontId="5"/>
  </si>
  <si>
    <t>S35.  4.  1</t>
    <phoneticPr fontId="5"/>
  </si>
  <si>
    <t>りんどう幼稚園</t>
    <rPh sb="4" eb="7">
      <t>ヨウチエン</t>
    </rPh>
    <phoneticPr fontId="5"/>
  </si>
  <si>
    <t>S55.  4.  1</t>
    <phoneticPr fontId="5"/>
  </si>
  <si>
    <t>注）学級数は特別支援教室を含む。</t>
    <rPh sb="0" eb="1">
      <t>チュウ</t>
    </rPh>
    <rPh sb="2" eb="4">
      <t>ガッキュウ</t>
    </rPh>
    <rPh sb="4" eb="5">
      <t>スウ</t>
    </rPh>
    <rPh sb="6" eb="8">
      <t>トクベツ</t>
    </rPh>
    <rPh sb="8" eb="10">
      <t>シエン</t>
    </rPh>
    <rPh sb="10" eb="12">
      <t>キョウシツ</t>
    </rPh>
    <rPh sb="13" eb="14">
      <t>フク</t>
    </rPh>
    <phoneticPr fontId="5"/>
  </si>
  <si>
    <t>注）教員数は休職者等を含む本務者の合計数。</t>
    <rPh sb="0" eb="1">
      <t>チュウ</t>
    </rPh>
    <rPh sb="2" eb="4">
      <t>キョウイン</t>
    </rPh>
    <rPh sb="4" eb="5">
      <t>スウ</t>
    </rPh>
    <rPh sb="6" eb="8">
      <t>キュウショク</t>
    </rPh>
    <rPh sb="8" eb="9">
      <t>シャ</t>
    </rPh>
    <rPh sb="9" eb="10">
      <t>トウ</t>
    </rPh>
    <rPh sb="11" eb="12">
      <t>フク</t>
    </rPh>
    <rPh sb="13" eb="15">
      <t>ホンム</t>
    </rPh>
    <rPh sb="15" eb="16">
      <t>シャ</t>
    </rPh>
    <rPh sb="17" eb="19">
      <t>ゴウケイ</t>
    </rPh>
    <rPh sb="19" eb="20">
      <t>スウ</t>
    </rPh>
    <phoneticPr fontId="5"/>
  </si>
  <si>
    <t>　－</t>
  </si>
  <si>
    <t>奨学金貸与の状況</t>
    <rPh sb="0" eb="3">
      <t>ショウガクキン</t>
    </rPh>
    <rPh sb="3" eb="5">
      <t>タイヨ</t>
    </rPh>
    <rPh sb="6" eb="8">
      <t>ジョウキョウ</t>
    </rPh>
    <phoneticPr fontId="5"/>
  </si>
  <si>
    <t>各年3月31日現在</t>
    <rPh sb="0" eb="1">
      <t>カク</t>
    </rPh>
    <rPh sb="1" eb="2">
      <t>ネン</t>
    </rPh>
    <rPh sb="2" eb="3">
      <t>ヘイネン</t>
    </rPh>
    <rPh sb="3" eb="4">
      <t>ガツ</t>
    </rPh>
    <rPh sb="6" eb="7">
      <t>ニチ</t>
    </rPh>
    <rPh sb="7" eb="9">
      <t>ゲンザイ</t>
    </rPh>
    <phoneticPr fontId="5"/>
  </si>
  <si>
    <t>年  度</t>
    <rPh sb="0" eb="1">
      <t>トシ</t>
    </rPh>
    <rPh sb="3" eb="4">
      <t>タビ</t>
    </rPh>
    <phoneticPr fontId="5"/>
  </si>
  <si>
    <t>貸　付　者　数</t>
    <rPh sb="0" eb="1">
      <t>カシ</t>
    </rPh>
    <rPh sb="2" eb="3">
      <t>ヅケ</t>
    </rPh>
    <rPh sb="4" eb="5">
      <t>シャ</t>
    </rPh>
    <rPh sb="6" eb="7">
      <t>スウ</t>
    </rPh>
    <phoneticPr fontId="5"/>
  </si>
  <si>
    <t>貸   付   額</t>
    <rPh sb="0" eb="1">
      <t>カシ</t>
    </rPh>
    <rPh sb="4" eb="5">
      <t>ヅケ</t>
    </rPh>
    <rPh sb="8" eb="9">
      <t>ガク</t>
    </rPh>
    <phoneticPr fontId="5"/>
  </si>
  <si>
    <t>償還者数</t>
    <rPh sb="0" eb="2">
      <t>ショウカン</t>
    </rPh>
    <rPh sb="2" eb="3">
      <t>シャ</t>
    </rPh>
    <rPh sb="3" eb="4">
      <t>スウ</t>
    </rPh>
    <phoneticPr fontId="5"/>
  </si>
  <si>
    <t>償　還　額</t>
    <rPh sb="0" eb="1">
      <t>ツグナ</t>
    </rPh>
    <rPh sb="2" eb="3">
      <t>メグ</t>
    </rPh>
    <rPh sb="4" eb="5">
      <t>ガク</t>
    </rPh>
    <phoneticPr fontId="5"/>
  </si>
  <si>
    <t>大学生</t>
    <rPh sb="0" eb="3">
      <t>ダイガクセイ</t>
    </rPh>
    <phoneticPr fontId="5"/>
  </si>
  <si>
    <t>高校生</t>
    <rPh sb="0" eb="3">
      <t>コウコウセイ</t>
    </rPh>
    <phoneticPr fontId="5"/>
  </si>
  <si>
    <t>年    額</t>
    <rPh sb="0" eb="1">
      <t>トシ</t>
    </rPh>
    <rPh sb="5" eb="6">
      <t>ガク</t>
    </rPh>
    <phoneticPr fontId="5"/>
  </si>
  <si>
    <t>累 計 額</t>
    <rPh sb="0" eb="1">
      <t>ルイ</t>
    </rPh>
    <rPh sb="2" eb="3">
      <t>ケイ</t>
    </rPh>
    <rPh sb="4" eb="5">
      <t>ガク</t>
    </rPh>
    <phoneticPr fontId="5"/>
  </si>
  <si>
    <t>新規</t>
    <rPh sb="0" eb="2">
      <t>シンキ</t>
    </rPh>
    <phoneticPr fontId="5"/>
  </si>
  <si>
    <t>継続</t>
    <rPh sb="0" eb="2">
      <t>ケイゾク</t>
    </rPh>
    <phoneticPr fontId="5"/>
  </si>
  <si>
    <t>資料：教育委員会  注)旧八坂村・旧美麻村は該当なし。</t>
    <rPh sb="0" eb="2">
      <t>シリョウ</t>
    </rPh>
    <rPh sb="3" eb="5">
      <t>キョウイク</t>
    </rPh>
    <rPh sb="5" eb="8">
      <t>イインカイ</t>
    </rPh>
    <phoneticPr fontId="5"/>
  </si>
  <si>
    <t>図書館貸出冊数の推移</t>
    <rPh sb="0" eb="3">
      <t>トショカン</t>
    </rPh>
    <rPh sb="3" eb="5">
      <t>カシダシ</t>
    </rPh>
    <rPh sb="5" eb="6">
      <t>サツ</t>
    </rPh>
    <rPh sb="6" eb="7">
      <t>スウ</t>
    </rPh>
    <rPh sb="8" eb="10">
      <t>スイイ</t>
    </rPh>
    <phoneticPr fontId="5"/>
  </si>
  <si>
    <t>児童図書・紙芝居</t>
    <rPh sb="0" eb="2">
      <t>ジドウ</t>
    </rPh>
    <rPh sb="2" eb="4">
      <t>トショ</t>
    </rPh>
    <rPh sb="5" eb="8">
      <t>カミシバイ</t>
    </rPh>
    <phoneticPr fontId="5"/>
  </si>
  <si>
    <t>一般図書等（注）</t>
    <rPh sb="0" eb="2">
      <t>イッパン</t>
    </rPh>
    <rPh sb="2" eb="4">
      <t>トショ</t>
    </rPh>
    <rPh sb="4" eb="5">
      <t>トウ</t>
    </rPh>
    <rPh sb="6" eb="7">
      <t>チュウ</t>
    </rPh>
    <phoneticPr fontId="5"/>
  </si>
  <si>
    <t>一日平均</t>
    <rPh sb="0" eb="2">
      <t>イチニチ</t>
    </rPh>
    <rPh sb="2" eb="4">
      <t>ヘイキン</t>
    </rPh>
    <phoneticPr fontId="5"/>
  </si>
  <si>
    <t>令和2年度</t>
    <rPh sb="0" eb="2">
      <t>レイワ</t>
    </rPh>
    <rPh sb="3" eb="5">
      <t>ネンド</t>
    </rPh>
    <rPh sb="4" eb="5">
      <t>ド</t>
    </rPh>
    <phoneticPr fontId="5"/>
  </si>
  <si>
    <t>資料：市立大町図書館</t>
    <rPh sb="0" eb="2">
      <t>シリョウ</t>
    </rPh>
    <rPh sb="3" eb="5">
      <t>シリツ</t>
    </rPh>
    <rPh sb="5" eb="7">
      <t>オオマチ</t>
    </rPh>
    <rPh sb="7" eb="10">
      <t>トショカン</t>
    </rPh>
    <phoneticPr fontId="5"/>
  </si>
  <si>
    <t>(注)一般図書には視聴覚資料等の利用も含む</t>
    <rPh sb="1" eb="2">
      <t>チュウ</t>
    </rPh>
    <rPh sb="3" eb="5">
      <t>イッパン</t>
    </rPh>
    <rPh sb="5" eb="7">
      <t>トショ</t>
    </rPh>
    <rPh sb="9" eb="12">
      <t>シチョウカク</t>
    </rPh>
    <rPh sb="12" eb="14">
      <t>シリョウ</t>
    </rPh>
    <rPh sb="14" eb="15">
      <t>トウ</t>
    </rPh>
    <rPh sb="16" eb="18">
      <t>リヨウ</t>
    </rPh>
    <rPh sb="19" eb="20">
      <t>フク</t>
    </rPh>
    <phoneticPr fontId="5"/>
  </si>
  <si>
    <t>図書館利用者数</t>
    <rPh sb="0" eb="3">
      <t>トショカン</t>
    </rPh>
    <rPh sb="3" eb="6">
      <t>リヨウシャ</t>
    </rPh>
    <rPh sb="6" eb="7">
      <t>スウ</t>
    </rPh>
    <phoneticPr fontId="5"/>
  </si>
  <si>
    <t>児　童(注）</t>
  </si>
  <si>
    <t>一　般</t>
    <rPh sb="0" eb="1">
      <t>イッ</t>
    </rPh>
    <rPh sb="2" eb="3">
      <t>ハン</t>
    </rPh>
    <phoneticPr fontId="5"/>
  </si>
  <si>
    <t>一人当たり貸出数</t>
    <rPh sb="0" eb="2">
      <t>ヒトリ</t>
    </rPh>
    <rPh sb="2" eb="3">
      <t>ア</t>
    </rPh>
    <rPh sb="5" eb="7">
      <t>カシダシ</t>
    </rPh>
    <rPh sb="7" eb="8">
      <t>スウ</t>
    </rPh>
    <phoneticPr fontId="5"/>
  </si>
  <si>
    <t>（注）児童は0歳～12歳までとする</t>
    <rPh sb="1" eb="2">
      <t>チュウ</t>
    </rPh>
    <rPh sb="3" eb="5">
      <t>ジドウ</t>
    </rPh>
    <rPh sb="7" eb="8">
      <t>サイ</t>
    </rPh>
    <rPh sb="11" eb="12">
      <t>サイ</t>
    </rPh>
    <phoneticPr fontId="5"/>
  </si>
  <si>
    <t>（注）学習室利用含む</t>
    <rPh sb="1" eb="2">
      <t>チュウ</t>
    </rPh>
    <rPh sb="3" eb="5">
      <t>ガクシュウ</t>
    </rPh>
    <rPh sb="5" eb="6">
      <t>シツ</t>
    </rPh>
    <rPh sb="6" eb="8">
      <t>リヨウ</t>
    </rPh>
    <rPh sb="8" eb="9">
      <t>フク</t>
    </rPh>
    <phoneticPr fontId="5"/>
  </si>
  <si>
    <t>図書館の蔵書と利用冊数</t>
    <rPh sb="0" eb="3">
      <t>トショカン</t>
    </rPh>
    <rPh sb="4" eb="6">
      <t>ゾウショ</t>
    </rPh>
    <rPh sb="7" eb="9">
      <t>リヨウ</t>
    </rPh>
    <rPh sb="9" eb="11">
      <t>サツスウ</t>
    </rPh>
    <phoneticPr fontId="5"/>
  </si>
  <si>
    <t>令和6年3月31日現在</t>
    <rPh sb="0" eb="2">
      <t>レイワ</t>
    </rPh>
    <rPh sb="3" eb="4">
      <t>ネン</t>
    </rPh>
    <rPh sb="5" eb="6">
      <t>ガツ</t>
    </rPh>
    <rPh sb="8" eb="9">
      <t>ニチ</t>
    </rPh>
    <rPh sb="9" eb="11">
      <t>ゲンザイ</t>
    </rPh>
    <phoneticPr fontId="5"/>
  </si>
  <si>
    <t>分　　　類</t>
    <rPh sb="0" eb="1">
      <t>ブン</t>
    </rPh>
    <rPh sb="4" eb="5">
      <t>タグイ</t>
    </rPh>
    <phoneticPr fontId="5"/>
  </si>
  <si>
    <t>蔵書冊数</t>
    <rPh sb="0" eb="2">
      <t>ゾウショ</t>
    </rPh>
    <rPh sb="2" eb="4">
      <t>サツスウ</t>
    </rPh>
    <phoneticPr fontId="5"/>
  </si>
  <si>
    <t>蔵書構成比</t>
    <rPh sb="0" eb="2">
      <t>ゾウショ</t>
    </rPh>
    <rPh sb="2" eb="5">
      <t>コウセイヒ</t>
    </rPh>
    <phoneticPr fontId="5"/>
  </si>
  <si>
    <t>資料種別</t>
    <rPh sb="0" eb="2">
      <t>シリョウ</t>
    </rPh>
    <rPh sb="2" eb="4">
      <t>シュベツ</t>
    </rPh>
    <phoneticPr fontId="5"/>
  </si>
  <si>
    <t>令和5年度 貸出数</t>
    <rPh sb="0" eb="2">
      <t>レイワ</t>
    </rPh>
    <rPh sb="3" eb="4">
      <t>ネン</t>
    </rPh>
    <rPh sb="4" eb="5">
      <t>ド</t>
    </rPh>
    <rPh sb="6" eb="8">
      <t>カシダシ</t>
    </rPh>
    <rPh sb="8" eb="9">
      <t>スウ</t>
    </rPh>
    <phoneticPr fontId="5"/>
  </si>
  <si>
    <t>冊</t>
    <rPh sb="0" eb="1">
      <t>サツ</t>
    </rPh>
    <phoneticPr fontId="5"/>
  </si>
  <si>
    <t>N</t>
    <phoneticPr fontId="5"/>
  </si>
  <si>
    <t>郷土資料</t>
    <rPh sb="0" eb="2">
      <t>キョウド</t>
    </rPh>
    <rPh sb="2" eb="4">
      <t>シリョウ</t>
    </rPh>
    <phoneticPr fontId="5"/>
  </si>
  <si>
    <t>一般図書</t>
    <rPh sb="0" eb="2">
      <t>イッパン</t>
    </rPh>
    <rPh sb="2" eb="4">
      <t>トショ</t>
    </rPh>
    <phoneticPr fontId="5"/>
  </si>
  <si>
    <t>総記</t>
    <rPh sb="0" eb="2">
      <t>ソウキ</t>
    </rPh>
    <phoneticPr fontId="5"/>
  </si>
  <si>
    <t>児童図書</t>
    <rPh sb="0" eb="2">
      <t>ジドウ</t>
    </rPh>
    <rPh sb="2" eb="4">
      <t>トショ</t>
    </rPh>
    <phoneticPr fontId="5"/>
  </si>
  <si>
    <t>哲学</t>
    <rPh sb="0" eb="2">
      <t>テツガク</t>
    </rPh>
    <phoneticPr fontId="5"/>
  </si>
  <si>
    <t>歴史</t>
    <rPh sb="0" eb="2">
      <t>レキシ</t>
    </rPh>
    <phoneticPr fontId="5"/>
  </si>
  <si>
    <t>小　　計</t>
    <rPh sb="0" eb="1">
      <t>ショウ</t>
    </rPh>
    <rPh sb="3" eb="4">
      <t>ケイ</t>
    </rPh>
    <phoneticPr fontId="5"/>
  </si>
  <si>
    <t>社会科学</t>
    <rPh sb="0" eb="2">
      <t>シャカイ</t>
    </rPh>
    <rPh sb="2" eb="4">
      <t>カガク</t>
    </rPh>
    <phoneticPr fontId="5"/>
  </si>
  <si>
    <t>雑　　誌</t>
    <rPh sb="0" eb="1">
      <t>ザツ</t>
    </rPh>
    <rPh sb="3" eb="4">
      <t>シ</t>
    </rPh>
    <phoneticPr fontId="5"/>
  </si>
  <si>
    <t>自然科学</t>
    <rPh sb="0" eb="2">
      <t>シゼン</t>
    </rPh>
    <rPh sb="2" eb="4">
      <t>カガク</t>
    </rPh>
    <phoneticPr fontId="5"/>
  </si>
  <si>
    <t>フリー</t>
    <phoneticPr fontId="5"/>
  </si>
  <si>
    <t>技術</t>
    <rPh sb="0" eb="2">
      <t>ギジュツ</t>
    </rPh>
    <phoneticPr fontId="5"/>
  </si>
  <si>
    <t>Ｃ　　Ｄ</t>
    <phoneticPr fontId="5"/>
  </si>
  <si>
    <t>産業</t>
    <rPh sb="0" eb="2">
      <t>サンギョウ</t>
    </rPh>
    <phoneticPr fontId="5"/>
  </si>
  <si>
    <t>ビデオ</t>
    <phoneticPr fontId="5"/>
  </si>
  <si>
    <t>芸術</t>
    <rPh sb="0" eb="2">
      <t>ゲイジュツ</t>
    </rPh>
    <phoneticPr fontId="5"/>
  </si>
  <si>
    <t>学習室利用</t>
    <rPh sb="0" eb="3">
      <t>ガクシュウシツ</t>
    </rPh>
    <rPh sb="3" eb="5">
      <t>リヨウ</t>
    </rPh>
    <phoneticPr fontId="5"/>
  </si>
  <si>
    <t>語学</t>
    <rPh sb="0" eb="2">
      <t>ゴガク</t>
    </rPh>
    <phoneticPr fontId="5"/>
  </si>
  <si>
    <t>合　　計</t>
    <rPh sb="0" eb="1">
      <t>ゴウ</t>
    </rPh>
    <rPh sb="3" eb="4">
      <t>ケイ</t>
    </rPh>
    <phoneticPr fontId="5"/>
  </si>
  <si>
    <t>文学</t>
    <rPh sb="0" eb="2">
      <t>ブンガク</t>
    </rPh>
    <phoneticPr fontId="5"/>
  </si>
  <si>
    <t>小     計</t>
    <rPh sb="0" eb="1">
      <t>ショウ</t>
    </rPh>
    <rPh sb="6" eb="7">
      <t>ケイ</t>
    </rPh>
    <phoneticPr fontId="5"/>
  </si>
  <si>
    <t>紙芝居</t>
  </si>
  <si>
    <t>大活字本</t>
    <rPh sb="0" eb="1">
      <t>ダイ</t>
    </rPh>
    <rPh sb="1" eb="3">
      <t>カツジ</t>
    </rPh>
    <rPh sb="3" eb="4">
      <t>ホン</t>
    </rPh>
    <phoneticPr fontId="5"/>
  </si>
  <si>
    <t>点字図書</t>
    <rPh sb="0" eb="2">
      <t>テンジ</t>
    </rPh>
    <rPh sb="2" eb="4">
      <t>トショ</t>
    </rPh>
    <phoneticPr fontId="5"/>
  </si>
  <si>
    <t>図書合計</t>
    <rPh sb="0" eb="2">
      <t>トショ</t>
    </rPh>
    <rPh sb="2" eb="4">
      <t>ゴウケイ</t>
    </rPh>
    <phoneticPr fontId="5"/>
  </si>
  <si>
    <t>園文庫</t>
    <rPh sb="0" eb="2">
      <t>ブンコ</t>
    </rPh>
    <phoneticPr fontId="5"/>
  </si>
  <si>
    <t>雑誌</t>
    <rPh sb="0" eb="2">
      <t>ザッシ</t>
    </rPh>
    <phoneticPr fontId="5"/>
  </si>
  <si>
    <t>ＣＤ</t>
    <phoneticPr fontId="5"/>
  </si>
  <si>
    <t>ＤＶＤ</t>
    <phoneticPr fontId="5"/>
  </si>
  <si>
    <t>テープ図書</t>
    <rPh sb="3" eb="5">
      <t>トショ</t>
    </rPh>
    <phoneticPr fontId="5"/>
  </si>
  <si>
    <t>一般職業紹介の状況</t>
    <rPh sb="0" eb="2">
      <t>イッパン</t>
    </rPh>
    <rPh sb="2" eb="4">
      <t>ショクギョウ</t>
    </rPh>
    <rPh sb="4" eb="6">
      <t>ショウカイ</t>
    </rPh>
    <rPh sb="7" eb="9">
      <t>ジョウキョウ</t>
    </rPh>
    <phoneticPr fontId="5"/>
  </si>
  <si>
    <t>求　　　　　職</t>
    <rPh sb="0" eb="1">
      <t>モトム</t>
    </rPh>
    <rPh sb="6" eb="7">
      <t>ショク</t>
    </rPh>
    <phoneticPr fontId="5"/>
  </si>
  <si>
    <t>求　　　　　人</t>
    <rPh sb="0" eb="1">
      <t>モトム</t>
    </rPh>
    <rPh sb="6" eb="7">
      <t>ヒト</t>
    </rPh>
    <phoneticPr fontId="5"/>
  </si>
  <si>
    <t>紹介件数</t>
    <rPh sb="0" eb="2">
      <t>ショウカイ</t>
    </rPh>
    <rPh sb="2" eb="4">
      <t>ケンスウ</t>
    </rPh>
    <phoneticPr fontId="5"/>
  </si>
  <si>
    <t>就職件数</t>
    <rPh sb="0" eb="2">
      <t>シュウショク</t>
    </rPh>
    <rPh sb="2" eb="4">
      <t>ケンスウ</t>
    </rPh>
    <phoneticPr fontId="5"/>
  </si>
  <si>
    <t>新規求職
申込者数</t>
    <rPh sb="0" eb="2">
      <t>シンキ</t>
    </rPh>
    <rPh sb="2" eb="3">
      <t>モトム</t>
    </rPh>
    <rPh sb="3" eb="4">
      <t>ショク</t>
    </rPh>
    <rPh sb="5" eb="7">
      <t>モウシコ</t>
    </rPh>
    <rPh sb="7" eb="8">
      <t>シャ</t>
    </rPh>
    <rPh sb="8" eb="9">
      <t>スウ</t>
    </rPh>
    <phoneticPr fontId="5"/>
  </si>
  <si>
    <t>有効
求職者数
（延数）</t>
    <rPh sb="0" eb="2">
      <t>ユウコウ</t>
    </rPh>
    <rPh sb="3" eb="6">
      <t>キュウショクシャ</t>
    </rPh>
    <rPh sb="6" eb="7">
      <t>スウ</t>
    </rPh>
    <rPh sb="9" eb="10">
      <t>エン</t>
    </rPh>
    <rPh sb="10" eb="11">
      <t>カズ</t>
    </rPh>
    <phoneticPr fontId="5"/>
  </si>
  <si>
    <t>新　規
求人数</t>
    <rPh sb="0" eb="1">
      <t>シン</t>
    </rPh>
    <rPh sb="2" eb="3">
      <t>キ</t>
    </rPh>
    <rPh sb="4" eb="7">
      <t>キュウジンスウ</t>
    </rPh>
    <phoneticPr fontId="5"/>
  </si>
  <si>
    <t>有効
求人数
（延数）</t>
    <rPh sb="0" eb="2">
      <t>ユウコウ</t>
    </rPh>
    <rPh sb="3" eb="5">
      <t>キュウジン</t>
    </rPh>
    <rPh sb="5" eb="6">
      <t>スウ</t>
    </rPh>
    <rPh sb="8" eb="9">
      <t>ノ</t>
    </rPh>
    <rPh sb="9" eb="10">
      <t>スウ</t>
    </rPh>
    <phoneticPr fontId="5"/>
  </si>
  <si>
    <t>うち常用</t>
    <rPh sb="2" eb="4">
      <t>ジョウヨウ</t>
    </rPh>
    <phoneticPr fontId="5"/>
  </si>
  <si>
    <t>資料：大町公共職業安定所</t>
    <rPh sb="0" eb="2">
      <t>シリョウ</t>
    </rPh>
    <rPh sb="3" eb="5">
      <t>オオマチ</t>
    </rPh>
    <rPh sb="5" eb="7">
      <t>コウキョウ</t>
    </rPh>
    <rPh sb="7" eb="9">
      <t>ショクギョウ</t>
    </rPh>
    <rPh sb="9" eb="11">
      <t>アンテイ</t>
    </rPh>
    <rPh sb="11" eb="12">
      <t>ジョ</t>
    </rPh>
    <phoneticPr fontId="5"/>
  </si>
  <si>
    <t>注）1.新規学校卒業者及び日雇の求職求人は含まない。</t>
    <rPh sb="0" eb="1">
      <t>チュウ</t>
    </rPh>
    <rPh sb="4" eb="6">
      <t>シンキ</t>
    </rPh>
    <rPh sb="6" eb="8">
      <t>ガッコウ</t>
    </rPh>
    <rPh sb="8" eb="11">
      <t>ソツギョウシャ</t>
    </rPh>
    <rPh sb="11" eb="12">
      <t>オヨ</t>
    </rPh>
    <rPh sb="13" eb="15">
      <t>ヒヤト</t>
    </rPh>
    <rPh sb="16" eb="18">
      <t>キュウショク</t>
    </rPh>
    <rPh sb="18" eb="20">
      <t>キュウジン</t>
    </rPh>
    <rPh sb="21" eb="22">
      <t>フク</t>
    </rPh>
    <phoneticPr fontId="5"/>
  </si>
  <si>
    <t xml:space="preserve">    2.大町公共職業安定所管内の数値。</t>
    <rPh sb="6" eb="8">
      <t>オオマチ</t>
    </rPh>
    <rPh sb="8" eb="10">
      <t>コウキョウ</t>
    </rPh>
    <rPh sb="10" eb="12">
      <t>ショクギョウ</t>
    </rPh>
    <rPh sb="12" eb="14">
      <t>アンテイ</t>
    </rPh>
    <rPh sb="14" eb="15">
      <t>ジョ</t>
    </rPh>
    <rPh sb="15" eb="17">
      <t>カンナイ</t>
    </rPh>
    <rPh sb="18" eb="20">
      <t>スウチ</t>
    </rPh>
    <phoneticPr fontId="5"/>
  </si>
  <si>
    <t>雇用保険失業給付の支給状況</t>
    <rPh sb="0" eb="2">
      <t>コヨウ</t>
    </rPh>
    <rPh sb="2" eb="4">
      <t>ホケン</t>
    </rPh>
    <rPh sb="4" eb="6">
      <t>シツギョウ</t>
    </rPh>
    <rPh sb="6" eb="8">
      <t>キュウフ</t>
    </rPh>
    <rPh sb="9" eb="11">
      <t>シキュウ</t>
    </rPh>
    <rPh sb="11" eb="13">
      <t>ジョウキョウ</t>
    </rPh>
    <phoneticPr fontId="5"/>
  </si>
  <si>
    <t>求職者給付</t>
    <rPh sb="0" eb="3">
      <t>キュウショクシャ</t>
    </rPh>
    <rPh sb="3" eb="5">
      <t>キュウフ</t>
    </rPh>
    <phoneticPr fontId="5"/>
  </si>
  <si>
    <t>うち一般求職者給付</t>
    <rPh sb="2" eb="4">
      <t>イッパン</t>
    </rPh>
    <rPh sb="4" eb="6">
      <t>キュウショク</t>
    </rPh>
    <rPh sb="6" eb="7">
      <t>シャ</t>
    </rPh>
    <rPh sb="7" eb="9">
      <t>キュウフ</t>
    </rPh>
    <phoneticPr fontId="5"/>
  </si>
  <si>
    <t>うち高年齢求職者給付</t>
    <rPh sb="2" eb="5">
      <t>コウネンレイ</t>
    </rPh>
    <rPh sb="5" eb="7">
      <t>キュウショク</t>
    </rPh>
    <rPh sb="7" eb="8">
      <t>シャ</t>
    </rPh>
    <rPh sb="8" eb="10">
      <t>キュウフ</t>
    </rPh>
    <phoneticPr fontId="5"/>
  </si>
  <si>
    <t>うち特例一時金</t>
    <rPh sb="2" eb="4">
      <t>トクレイ</t>
    </rPh>
    <rPh sb="4" eb="7">
      <t>イチジキン</t>
    </rPh>
    <phoneticPr fontId="5"/>
  </si>
  <si>
    <t>日雇労働求職者給付</t>
    <rPh sb="0" eb="2">
      <t>ヒヤトイ</t>
    </rPh>
    <rPh sb="2" eb="4">
      <t>ロウドウ</t>
    </rPh>
    <rPh sb="4" eb="7">
      <t>キュウショクシャ</t>
    </rPh>
    <rPh sb="7" eb="9">
      <t>キュウフ</t>
    </rPh>
    <phoneticPr fontId="5"/>
  </si>
  <si>
    <t>受給者数</t>
    <rPh sb="0" eb="3">
      <t>ジュキュウシャ</t>
    </rPh>
    <rPh sb="3" eb="4">
      <t>スウ</t>
    </rPh>
    <phoneticPr fontId="5"/>
  </si>
  <si>
    <t>金額</t>
    <rPh sb="0" eb="2">
      <t>キンガク</t>
    </rPh>
    <phoneticPr fontId="5"/>
  </si>
  <si>
    <t>注） 大町公共職業安定所管内の数値</t>
    <phoneticPr fontId="5"/>
  </si>
  <si>
    <t>北アルプス広域葬祭場の利用状況</t>
    <rPh sb="0" eb="1">
      <t>キタ</t>
    </rPh>
    <rPh sb="5" eb="7">
      <t>コウイキ</t>
    </rPh>
    <rPh sb="7" eb="9">
      <t>ソウサイ</t>
    </rPh>
    <rPh sb="9" eb="10">
      <t>バ</t>
    </rPh>
    <rPh sb="11" eb="13">
      <t>リヨウ</t>
    </rPh>
    <rPh sb="13" eb="15">
      <t>ジョウキョウ</t>
    </rPh>
    <phoneticPr fontId="5"/>
  </si>
  <si>
    <t>区　　分</t>
    <rPh sb="0" eb="4">
      <t>クブン</t>
    </rPh>
    <phoneticPr fontId="5"/>
  </si>
  <si>
    <t>死　　者</t>
    <rPh sb="0" eb="4">
      <t>シシャ</t>
    </rPh>
    <phoneticPr fontId="5"/>
  </si>
  <si>
    <t>死　　胎</t>
    <rPh sb="0" eb="1">
      <t>シ</t>
    </rPh>
    <rPh sb="3" eb="4">
      <t>タイジ</t>
    </rPh>
    <phoneticPr fontId="5"/>
  </si>
  <si>
    <t>動　　物</t>
    <rPh sb="0" eb="1">
      <t>ドウ</t>
    </rPh>
    <rPh sb="3" eb="4">
      <t>ブツ</t>
    </rPh>
    <phoneticPr fontId="5"/>
  </si>
  <si>
    <t>12歳以上</t>
    <rPh sb="2" eb="3">
      <t>サイ</t>
    </rPh>
    <rPh sb="3" eb="5">
      <t>イジョウ</t>
    </rPh>
    <phoneticPr fontId="5"/>
  </si>
  <si>
    <t>12歳未満</t>
    <rPh sb="2" eb="3">
      <t>サイ</t>
    </rPh>
    <rPh sb="3" eb="5">
      <t>ミマン</t>
    </rPh>
    <phoneticPr fontId="5"/>
  </si>
  <si>
    <t>総    数</t>
    <rPh sb="0" eb="1">
      <t>フサ</t>
    </rPh>
    <rPh sb="5" eb="6">
      <t>カズ</t>
    </rPh>
    <phoneticPr fontId="5"/>
  </si>
  <si>
    <t>市    内</t>
    <rPh sb="0" eb="1">
      <t>シ</t>
    </rPh>
    <rPh sb="5" eb="6">
      <t>ウチ</t>
    </rPh>
    <phoneticPr fontId="5"/>
  </si>
  <si>
    <t>圏    内</t>
    <rPh sb="0" eb="1">
      <t>ケン</t>
    </rPh>
    <rPh sb="5" eb="6">
      <t>ウチ</t>
    </rPh>
    <phoneticPr fontId="5"/>
  </si>
  <si>
    <t>圏    外</t>
    <rPh sb="0" eb="1">
      <t>ケン</t>
    </rPh>
    <rPh sb="5" eb="6">
      <t>ソト</t>
    </rPh>
    <phoneticPr fontId="5"/>
  </si>
  <si>
    <t>令和3年度</t>
    <rPh sb="0" eb="2">
      <t>レイワ</t>
    </rPh>
    <rPh sb="3" eb="5">
      <t>ネンド</t>
    </rPh>
    <rPh sb="4" eb="5">
      <t>ド</t>
    </rPh>
    <phoneticPr fontId="5"/>
  </si>
  <si>
    <t>令和4年度</t>
    <rPh sb="0" eb="2">
      <t>レイワ</t>
    </rPh>
    <rPh sb="3" eb="5">
      <t>ネンド</t>
    </rPh>
    <rPh sb="4" eb="5">
      <t>ド</t>
    </rPh>
    <phoneticPr fontId="5"/>
  </si>
  <si>
    <t>資料：北アルプス広域連合</t>
    <rPh sb="0" eb="2">
      <t>シリョウ</t>
    </rPh>
    <rPh sb="3" eb="4">
      <t>キタ</t>
    </rPh>
    <rPh sb="8" eb="10">
      <t>コウイキ</t>
    </rPh>
    <rPh sb="10" eb="12">
      <t>レンゴウ</t>
    </rPh>
    <phoneticPr fontId="5"/>
  </si>
  <si>
    <t>主　要　道　路</t>
    <rPh sb="0" eb="3">
      <t>シュヨウ</t>
    </rPh>
    <rPh sb="4" eb="7">
      <t>ドウロ</t>
    </rPh>
    <phoneticPr fontId="5"/>
  </si>
  <si>
    <t>道路番号</t>
    <rPh sb="0" eb="2">
      <t>ドウロ</t>
    </rPh>
    <rPh sb="2" eb="4">
      <t>バンゴウ</t>
    </rPh>
    <phoneticPr fontId="5"/>
  </si>
  <si>
    <t>種　　別</t>
    <rPh sb="0" eb="1">
      <t>タネ</t>
    </rPh>
    <rPh sb="3" eb="4">
      <t>ベツ</t>
    </rPh>
    <phoneticPr fontId="5"/>
  </si>
  <si>
    <t>路　　線　　名</t>
    <phoneticPr fontId="5"/>
  </si>
  <si>
    <t>市域内区間（起点～終点）</t>
    <phoneticPr fontId="5"/>
  </si>
  <si>
    <t>一般国道</t>
    <rPh sb="0" eb="2">
      <t>イッパン</t>
    </rPh>
    <rPh sb="2" eb="4">
      <t>コクドウ</t>
    </rPh>
    <phoneticPr fontId="5"/>
  </si>
  <si>
    <t>１９号</t>
    <rPh sb="2" eb="3">
      <t>ゴウ</t>
    </rPh>
    <phoneticPr fontId="5"/>
  </si>
  <si>
    <t>大町市八坂瀬口</t>
    <rPh sb="0" eb="3">
      <t>オオマチシ</t>
    </rPh>
    <rPh sb="3" eb="5">
      <t>ヤサカ</t>
    </rPh>
    <rPh sb="5" eb="7">
      <t>セグチ</t>
    </rPh>
    <phoneticPr fontId="5"/>
  </si>
  <si>
    <t>～</t>
    <phoneticPr fontId="5"/>
  </si>
  <si>
    <t>大町市八坂栃沢</t>
    <rPh sb="0" eb="2">
      <t>オオマチ</t>
    </rPh>
    <rPh sb="2" eb="3">
      <t>シ</t>
    </rPh>
    <rPh sb="3" eb="5">
      <t>ヤサカ</t>
    </rPh>
    <rPh sb="5" eb="6">
      <t>トチ</t>
    </rPh>
    <rPh sb="6" eb="7">
      <t>サワ</t>
    </rPh>
    <phoneticPr fontId="5"/>
  </si>
  <si>
    <t>〃</t>
    <phoneticPr fontId="5"/>
  </si>
  <si>
    <t>１４７号</t>
    <rPh sb="3" eb="4">
      <t>ゴウ</t>
    </rPh>
    <phoneticPr fontId="5"/>
  </si>
  <si>
    <t>大町市大黒町</t>
    <rPh sb="0" eb="3">
      <t>オオマチシ</t>
    </rPh>
    <rPh sb="3" eb="6">
      <t>ダイコクチョウ</t>
    </rPh>
    <phoneticPr fontId="5"/>
  </si>
  <si>
    <t>松川村境</t>
    <phoneticPr fontId="5"/>
  </si>
  <si>
    <t>１４８号</t>
    <rPh sb="3" eb="4">
      <t>ゴウ</t>
    </rPh>
    <phoneticPr fontId="5"/>
  </si>
  <si>
    <t>〃　　　</t>
    <phoneticPr fontId="5"/>
  </si>
  <si>
    <t>白馬村境</t>
    <phoneticPr fontId="5"/>
  </si>
  <si>
    <t>主要地方道</t>
    <rPh sb="0" eb="2">
      <t>シュヨウ</t>
    </rPh>
    <rPh sb="2" eb="4">
      <t>チホウ</t>
    </rPh>
    <rPh sb="4" eb="5">
      <t>ドウ</t>
    </rPh>
    <phoneticPr fontId="5"/>
  </si>
  <si>
    <t>長野大町線</t>
    <rPh sb="0" eb="2">
      <t>ナガノ</t>
    </rPh>
    <rPh sb="2" eb="4">
      <t>オオマチ</t>
    </rPh>
    <rPh sb="4" eb="5">
      <t>セン</t>
    </rPh>
    <phoneticPr fontId="5"/>
  </si>
  <si>
    <t>小川村境</t>
    <rPh sb="0" eb="3">
      <t>オガワムラ</t>
    </rPh>
    <rPh sb="3" eb="4">
      <t>サカイ</t>
    </rPh>
    <phoneticPr fontId="5"/>
  </si>
  <si>
    <t>大町市大黒町</t>
    <phoneticPr fontId="5"/>
  </si>
  <si>
    <t>白馬美麻線</t>
    <rPh sb="0" eb="2">
      <t>ハクバ</t>
    </rPh>
    <rPh sb="2" eb="4">
      <t>ミアサ</t>
    </rPh>
    <rPh sb="4" eb="5">
      <t>セン</t>
    </rPh>
    <phoneticPr fontId="5"/>
  </si>
  <si>
    <t>白馬村境</t>
    <rPh sb="0" eb="3">
      <t>ハクバムラ</t>
    </rPh>
    <rPh sb="3" eb="4">
      <t>サカイ</t>
    </rPh>
    <phoneticPr fontId="5"/>
  </si>
  <si>
    <t>大町市美麻青具</t>
    <rPh sb="0" eb="3">
      <t>オオマチシ</t>
    </rPh>
    <rPh sb="3" eb="5">
      <t>ミアサ</t>
    </rPh>
    <rPh sb="5" eb="6">
      <t>アオ</t>
    </rPh>
    <rPh sb="6" eb="7">
      <t>グ</t>
    </rPh>
    <phoneticPr fontId="5"/>
  </si>
  <si>
    <t>扇沢大町線</t>
    <rPh sb="0" eb="1">
      <t>オウギ</t>
    </rPh>
    <rPh sb="1" eb="2">
      <t>サワ</t>
    </rPh>
    <rPh sb="2" eb="4">
      <t>オオマチ</t>
    </rPh>
    <rPh sb="4" eb="5">
      <t>セン</t>
    </rPh>
    <phoneticPr fontId="5"/>
  </si>
  <si>
    <t>扇沢</t>
    <rPh sb="0" eb="1">
      <t>オオギ</t>
    </rPh>
    <rPh sb="1" eb="2">
      <t>サワ</t>
    </rPh>
    <phoneticPr fontId="5"/>
  </si>
  <si>
    <t>大町市俵町</t>
    <phoneticPr fontId="5"/>
  </si>
  <si>
    <t>大町明科線</t>
    <rPh sb="0" eb="2">
      <t>オオマチ</t>
    </rPh>
    <rPh sb="2" eb="4">
      <t>アカシナ</t>
    </rPh>
    <rPh sb="4" eb="5">
      <t>セン</t>
    </rPh>
    <phoneticPr fontId="5"/>
  </si>
  <si>
    <t>大町市旭町</t>
    <rPh sb="0" eb="3">
      <t>オオマチシ</t>
    </rPh>
    <rPh sb="3" eb="5">
      <t>アサヒマチ</t>
    </rPh>
    <phoneticPr fontId="5"/>
  </si>
  <si>
    <t>池田町境</t>
    <phoneticPr fontId="5"/>
  </si>
  <si>
    <t>大町麻績インター千曲線</t>
    <rPh sb="0" eb="2">
      <t>オオマチ</t>
    </rPh>
    <rPh sb="2" eb="4">
      <t>オミ</t>
    </rPh>
    <rPh sb="8" eb="10">
      <t>チクマ</t>
    </rPh>
    <rPh sb="10" eb="11">
      <t>セン</t>
    </rPh>
    <phoneticPr fontId="5"/>
  </si>
  <si>
    <t>生坂村境</t>
    <rPh sb="0" eb="2">
      <t>イクサカ</t>
    </rPh>
    <rPh sb="2" eb="3">
      <t>ムラ</t>
    </rPh>
    <rPh sb="3" eb="4">
      <t>サカイ</t>
    </rPh>
    <phoneticPr fontId="5"/>
  </si>
  <si>
    <t>一般県道</t>
    <rPh sb="0" eb="2">
      <t>イッパン</t>
    </rPh>
    <rPh sb="2" eb="4">
      <t>ケンドウ</t>
    </rPh>
    <phoneticPr fontId="5"/>
  </si>
  <si>
    <t>有明大町線</t>
    <rPh sb="0" eb="2">
      <t>アリアケ</t>
    </rPh>
    <rPh sb="2" eb="4">
      <t>オオマチ</t>
    </rPh>
    <rPh sb="4" eb="5">
      <t>セン</t>
    </rPh>
    <phoneticPr fontId="5"/>
  </si>
  <si>
    <t>松川村境</t>
    <rPh sb="0" eb="3">
      <t>マツカワムラ</t>
    </rPh>
    <rPh sb="3" eb="4">
      <t>サカイ</t>
    </rPh>
    <phoneticPr fontId="5"/>
  </si>
  <si>
    <t>大町市下仲町</t>
    <rPh sb="0" eb="3">
      <t>オオマチシ</t>
    </rPh>
    <rPh sb="3" eb="4">
      <t>シモナカ</t>
    </rPh>
    <rPh sb="4" eb="5">
      <t>ナカ</t>
    </rPh>
    <rPh sb="5" eb="6">
      <t>マチ</t>
    </rPh>
    <phoneticPr fontId="5"/>
  </si>
  <si>
    <t>青具簗場停車場線</t>
    <rPh sb="0" eb="1">
      <t>アオ</t>
    </rPh>
    <rPh sb="1" eb="2">
      <t>グ</t>
    </rPh>
    <rPh sb="2" eb="4">
      <t>ヤナバ</t>
    </rPh>
    <rPh sb="4" eb="6">
      <t>テイシャ</t>
    </rPh>
    <rPh sb="6" eb="7">
      <t>ジョウ</t>
    </rPh>
    <rPh sb="7" eb="8">
      <t>セン</t>
    </rPh>
    <phoneticPr fontId="5"/>
  </si>
  <si>
    <t>簗場駅</t>
    <rPh sb="0" eb="2">
      <t>ヤナバ</t>
    </rPh>
    <rPh sb="2" eb="3">
      <t>エキ</t>
    </rPh>
    <phoneticPr fontId="5"/>
  </si>
  <si>
    <t>白馬岳大町線</t>
    <rPh sb="0" eb="2">
      <t>ハクバ</t>
    </rPh>
    <rPh sb="2" eb="3">
      <t>タケ</t>
    </rPh>
    <rPh sb="3" eb="5">
      <t>オオマチ</t>
    </rPh>
    <rPh sb="5" eb="6">
      <t>セン</t>
    </rPh>
    <phoneticPr fontId="5"/>
  </si>
  <si>
    <t>大町市大谷原</t>
    <rPh sb="0" eb="3">
      <t>オオマチシ</t>
    </rPh>
    <rPh sb="3" eb="5">
      <t>オオタニ</t>
    </rPh>
    <rPh sb="5" eb="6">
      <t>ハラ</t>
    </rPh>
    <phoneticPr fontId="5"/>
  </si>
  <si>
    <t>大町市木崎</t>
    <rPh sb="0" eb="3">
      <t>オオマチシ</t>
    </rPh>
    <rPh sb="3" eb="5">
      <t>キザキ</t>
    </rPh>
    <phoneticPr fontId="5"/>
  </si>
  <si>
    <t>槍ヶ岳線</t>
    <rPh sb="0" eb="3">
      <t>ヤリガタケ</t>
    </rPh>
    <rPh sb="3" eb="4">
      <t>セン</t>
    </rPh>
    <phoneticPr fontId="5"/>
  </si>
  <si>
    <t>大町市七倉</t>
    <rPh sb="0" eb="3">
      <t>オオマチシ</t>
    </rPh>
    <rPh sb="3" eb="4">
      <t>ナナ</t>
    </rPh>
    <rPh sb="4" eb="5">
      <t>クラ</t>
    </rPh>
    <phoneticPr fontId="5"/>
  </si>
  <si>
    <t>大平大峰沓掛線</t>
    <rPh sb="0" eb="1">
      <t>オオ</t>
    </rPh>
    <rPh sb="1" eb="2">
      <t>タイラ</t>
    </rPh>
    <rPh sb="2" eb="4">
      <t>オオミネ</t>
    </rPh>
    <rPh sb="4" eb="5">
      <t>クツ</t>
    </rPh>
    <rPh sb="5" eb="6">
      <t>カ</t>
    </rPh>
    <rPh sb="6" eb="7">
      <t>セン</t>
    </rPh>
    <phoneticPr fontId="5"/>
  </si>
  <si>
    <t>大町市宮本</t>
    <rPh sb="0" eb="3">
      <t>オオマチシ</t>
    </rPh>
    <rPh sb="3" eb="5">
      <t>ミヤモト</t>
    </rPh>
    <phoneticPr fontId="5"/>
  </si>
  <si>
    <t>大町市沓掛</t>
    <rPh sb="0" eb="3">
      <t>オオマチシ</t>
    </rPh>
    <rPh sb="3" eb="4">
      <t>クツ</t>
    </rPh>
    <rPh sb="4" eb="5">
      <t>カ</t>
    </rPh>
    <phoneticPr fontId="5"/>
  </si>
  <si>
    <t>小島信濃木崎（停）線</t>
    <rPh sb="0" eb="1">
      <t>コ</t>
    </rPh>
    <rPh sb="1" eb="2">
      <t>シマ</t>
    </rPh>
    <rPh sb="2" eb="4">
      <t>シナノ</t>
    </rPh>
    <rPh sb="4" eb="6">
      <t>キザキ</t>
    </rPh>
    <rPh sb="7" eb="8">
      <t>テイ</t>
    </rPh>
    <rPh sb="9" eb="10">
      <t>セン</t>
    </rPh>
    <phoneticPr fontId="5"/>
  </si>
  <si>
    <t>長野市境</t>
    <rPh sb="0" eb="2">
      <t>ナガノ</t>
    </rPh>
    <rPh sb="2" eb="3">
      <t>シ</t>
    </rPh>
    <rPh sb="3" eb="4">
      <t>サカイ</t>
    </rPh>
    <phoneticPr fontId="5"/>
  </si>
  <si>
    <t>信濃木崎駅</t>
    <rPh sb="0" eb="2">
      <t>シナノ</t>
    </rPh>
    <rPh sb="2" eb="4">
      <t>キザキ</t>
    </rPh>
    <rPh sb="4" eb="5">
      <t>エキ</t>
    </rPh>
    <phoneticPr fontId="5"/>
  </si>
  <si>
    <t>川口大町線</t>
    <rPh sb="0" eb="1">
      <t>カワ</t>
    </rPh>
    <rPh sb="1" eb="2">
      <t>クチ</t>
    </rPh>
    <rPh sb="2" eb="4">
      <t>オオマチ</t>
    </rPh>
    <rPh sb="4" eb="5">
      <t>セン</t>
    </rPh>
    <phoneticPr fontId="5"/>
  </si>
  <si>
    <t>大町市三日町</t>
    <rPh sb="0" eb="3">
      <t>オオマチシ</t>
    </rPh>
    <rPh sb="3" eb="6">
      <t>ミッカマチ</t>
    </rPh>
    <phoneticPr fontId="5"/>
  </si>
  <si>
    <t>舟場矢下線</t>
    <rPh sb="0" eb="2">
      <t>フナバ</t>
    </rPh>
    <rPh sb="2" eb="3">
      <t>ヤ</t>
    </rPh>
    <rPh sb="3" eb="4">
      <t>シタ</t>
    </rPh>
    <rPh sb="4" eb="5">
      <t>セン</t>
    </rPh>
    <phoneticPr fontId="5"/>
  </si>
  <si>
    <t>大町市八坂舟場</t>
    <rPh sb="0" eb="3">
      <t>オオマチシ</t>
    </rPh>
    <rPh sb="3" eb="4">
      <t>８</t>
    </rPh>
    <rPh sb="4" eb="5">
      <t>サカ</t>
    </rPh>
    <rPh sb="5" eb="7">
      <t>フナバ</t>
    </rPh>
    <phoneticPr fontId="5"/>
  </si>
  <si>
    <t>大町市八坂矢下</t>
    <rPh sb="0" eb="3">
      <t>オオマチシ</t>
    </rPh>
    <rPh sb="3" eb="4">
      <t>８</t>
    </rPh>
    <rPh sb="4" eb="5">
      <t>サカ</t>
    </rPh>
    <rPh sb="5" eb="6">
      <t>ヤ</t>
    </rPh>
    <rPh sb="6" eb="7">
      <t>シタ</t>
    </rPh>
    <phoneticPr fontId="5"/>
  </si>
  <si>
    <t>信濃大町停車場線</t>
    <rPh sb="0" eb="2">
      <t>シナノ</t>
    </rPh>
    <rPh sb="2" eb="4">
      <t>オオマチ</t>
    </rPh>
    <rPh sb="4" eb="7">
      <t>テイシャジョウ</t>
    </rPh>
    <rPh sb="7" eb="8">
      <t>セン</t>
    </rPh>
    <phoneticPr fontId="5"/>
  </si>
  <si>
    <t>大町市仁科町</t>
    <rPh sb="0" eb="3">
      <t>オオマチシ</t>
    </rPh>
    <rPh sb="3" eb="5">
      <t>ニシナ</t>
    </rPh>
    <rPh sb="5" eb="6">
      <t>マチ</t>
    </rPh>
    <phoneticPr fontId="5"/>
  </si>
  <si>
    <t>〃</t>
  </si>
  <si>
    <t>あづみの公園大町線</t>
    <rPh sb="4" eb="6">
      <t>コウエン</t>
    </rPh>
    <rPh sb="6" eb="8">
      <t>オオマチ</t>
    </rPh>
    <rPh sb="8" eb="9">
      <t>セン</t>
    </rPh>
    <phoneticPr fontId="5"/>
  </si>
  <si>
    <t>大町市須沼</t>
    <rPh sb="0" eb="3">
      <t>オオマチシ</t>
    </rPh>
    <rPh sb="3" eb="4">
      <t>ス</t>
    </rPh>
    <rPh sb="4" eb="5">
      <t>ヌマ</t>
    </rPh>
    <phoneticPr fontId="5"/>
  </si>
  <si>
    <t>～</t>
  </si>
  <si>
    <t>大町市西原</t>
    <rPh sb="0" eb="3">
      <t>オオマチシ</t>
    </rPh>
    <rPh sb="3" eb="5">
      <t>ニシハラ</t>
    </rPh>
    <phoneticPr fontId="5"/>
  </si>
  <si>
    <t>美麻八坂線</t>
    <rPh sb="0" eb="2">
      <t>ミアサ</t>
    </rPh>
    <rPh sb="2" eb="3">
      <t>８</t>
    </rPh>
    <rPh sb="3" eb="4">
      <t>サカ</t>
    </rPh>
    <rPh sb="4" eb="5">
      <t>セン</t>
    </rPh>
    <phoneticPr fontId="5"/>
  </si>
  <si>
    <t>大町市美麻矢久</t>
    <rPh sb="0" eb="3">
      <t>オオマチシ</t>
    </rPh>
    <rPh sb="3" eb="5">
      <t>ミアサ</t>
    </rPh>
    <rPh sb="5" eb="6">
      <t>ヤ</t>
    </rPh>
    <rPh sb="6" eb="7">
      <t>ヒサ</t>
    </rPh>
    <phoneticPr fontId="5"/>
  </si>
  <si>
    <t>大町市八坂梨平</t>
    <rPh sb="0" eb="3">
      <t>オオマチシ</t>
    </rPh>
    <rPh sb="3" eb="4">
      <t>８</t>
    </rPh>
    <rPh sb="4" eb="5">
      <t>サカ</t>
    </rPh>
    <rPh sb="5" eb="6">
      <t>ナシ</t>
    </rPh>
    <rPh sb="6" eb="7">
      <t>タイラ</t>
    </rPh>
    <phoneticPr fontId="5"/>
  </si>
  <si>
    <t>資料：長野国道事務所信州新町出張所・大町建設事務所…道路現況（令和５年度4月現在）</t>
    <rPh sb="0" eb="2">
      <t>シリョウ</t>
    </rPh>
    <rPh sb="3" eb="5">
      <t>ナガノ</t>
    </rPh>
    <rPh sb="5" eb="7">
      <t>コクドウ</t>
    </rPh>
    <rPh sb="7" eb="9">
      <t>ジム</t>
    </rPh>
    <rPh sb="9" eb="10">
      <t>ショ</t>
    </rPh>
    <rPh sb="10" eb="14">
      <t>シンシュウシンマチ</t>
    </rPh>
    <rPh sb="14" eb="16">
      <t>シュッチョウ</t>
    </rPh>
    <rPh sb="16" eb="17">
      <t>ジョ</t>
    </rPh>
    <rPh sb="18" eb="20">
      <t>オオマチ</t>
    </rPh>
    <rPh sb="20" eb="22">
      <t>ケンセツ</t>
    </rPh>
    <rPh sb="22" eb="24">
      <t>ジム</t>
    </rPh>
    <rPh sb="24" eb="25">
      <t>ショ</t>
    </rPh>
    <phoneticPr fontId="5"/>
  </si>
  <si>
    <t>注）1.国道重用分を除いた数値</t>
    <phoneticPr fontId="5"/>
  </si>
  <si>
    <t xml:space="preserve">    2.区間（起点～終点）は合併に伴う表示変更後の表記とする</t>
    <rPh sb="6" eb="8">
      <t>クカン</t>
    </rPh>
    <rPh sb="9" eb="11">
      <t>キテン</t>
    </rPh>
    <rPh sb="12" eb="14">
      <t>シュウテン</t>
    </rPh>
    <rPh sb="16" eb="18">
      <t>ガッペイ</t>
    </rPh>
    <rPh sb="19" eb="20">
      <t>トモナ</t>
    </rPh>
    <rPh sb="21" eb="23">
      <t>ヒョウジ</t>
    </rPh>
    <rPh sb="23" eb="25">
      <t>ヘンコウ</t>
    </rPh>
    <rPh sb="25" eb="26">
      <t>ゴ</t>
    </rPh>
    <rPh sb="27" eb="29">
      <t>ヒョウキ</t>
    </rPh>
    <phoneticPr fontId="5"/>
  </si>
  <si>
    <t>令和5年4月1日現在</t>
    <rPh sb="0" eb="1">
      <t>レイ</t>
    </rPh>
    <rPh sb="1" eb="2">
      <t>カズ</t>
    </rPh>
    <rPh sb="3" eb="4">
      <t>ネン</t>
    </rPh>
    <rPh sb="4" eb="5">
      <t>ヘイネン</t>
    </rPh>
    <rPh sb="5" eb="6">
      <t>ガツ</t>
    </rPh>
    <rPh sb="7" eb="8">
      <t>ニチ</t>
    </rPh>
    <rPh sb="8" eb="10">
      <t>ゲンザイ</t>
    </rPh>
    <phoneticPr fontId="5"/>
  </si>
  <si>
    <t>左　　　　の　　　　内　　　　訳</t>
    <rPh sb="0" eb="1">
      <t>ヒダリ</t>
    </rPh>
    <rPh sb="10" eb="11">
      <t>ウチ</t>
    </rPh>
    <rPh sb="15" eb="16">
      <t>ヤク</t>
    </rPh>
    <phoneticPr fontId="5"/>
  </si>
  <si>
    <t>m</t>
    <phoneticPr fontId="5"/>
  </si>
  <si>
    <t>　　－</t>
    <phoneticPr fontId="5"/>
  </si>
  <si>
    <t>未　改　良</t>
    <rPh sb="0" eb="1">
      <t>ミ</t>
    </rPh>
    <rPh sb="2" eb="3">
      <t>アラタ</t>
    </rPh>
    <rPh sb="4" eb="5">
      <t>リョウ</t>
    </rPh>
    <phoneticPr fontId="5"/>
  </si>
  <si>
    <t>改　良　済</t>
    <rPh sb="0" eb="1">
      <t>アラタ</t>
    </rPh>
    <rPh sb="2" eb="3">
      <t>リョウ</t>
    </rPh>
    <rPh sb="4" eb="5">
      <t>スミ</t>
    </rPh>
    <phoneticPr fontId="5"/>
  </si>
  <si>
    <t>市域内延長　</t>
    <rPh sb="0" eb="1">
      <t>シ</t>
    </rPh>
    <rPh sb="1" eb="2">
      <t>イキ</t>
    </rPh>
    <rPh sb="2" eb="3">
      <t>ナイ</t>
    </rPh>
    <rPh sb="3" eb="4">
      <t>エン</t>
    </rPh>
    <rPh sb="4" eb="5">
      <t>チョウ</t>
    </rPh>
    <phoneticPr fontId="5"/>
  </si>
  <si>
    <t>橋　　梁　　数</t>
    <rPh sb="0" eb="1">
      <t>ハシ</t>
    </rPh>
    <rPh sb="3" eb="4">
      <t>ハリ</t>
    </rPh>
    <rPh sb="6" eb="7">
      <t>スウ</t>
    </rPh>
    <phoneticPr fontId="5"/>
  </si>
  <si>
    <t>橋　　　　梁</t>
    <rPh sb="0" eb="1">
      <t>ハシ</t>
    </rPh>
    <rPh sb="5" eb="6">
      <t>ハリ</t>
    </rPh>
    <phoneticPr fontId="5"/>
  </si>
  <si>
    <t>内永久橋</t>
    <rPh sb="0" eb="1">
      <t>ウチ</t>
    </rPh>
    <rPh sb="1" eb="3">
      <t>エイキュウ</t>
    </rPh>
    <rPh sb="3" eb="4">
      <t>ハシ</t>
    </rPh>
    <phoneticPr fontId="5"/>
  </si>
  <si>
    <t>内　木　橋</t>
    <rPh sb="0" eb="1">
      <t>ウチ</t>
    </rPh>
    <rPh sb="2" eb="3">
      <t>キ</t>
    </rPh>
    <rPh sb="4" eb="5">
      <t>バシ</t>
    </rPh>
    <phoneticPr fontId="5"/>
  </si>
  <si>
    <t>数</t>
    <rPh sb="0" eb="1">
      <t>カズ</t>
    </rPh>
    <phoneticPr fontId="5"/>
  </si>
  <si>
    <t>延　長</t>
    <rPh sb="0" eb="1">
      <t>エン</t>
    </rPh>
    <rPh sb="2" eb="3">
      <t>チョウ</t>
    </rPh>
    <phoneticPr fontId="5"/>
  </si>
  <si>
    <t>主要地方道</t>
    <rPh sb="0" eb="2">
      <t>シュヨウ</t>
    </rPh>
    <rPh sb="2" eb="4">
      <t>チホウ</t>
    </rPh>
    <rPh sb="4" eb="5">
      <t>ミチ</t>
    </rPh>
    <phoneticPr fontId="5"/>
  </si>
  <si>
    <t>資料：長野国道事務所・大町建設事務所…道路現況（令和５年度4月現在）</t>
    <rPh sb="0" eb="2">
      <t>シリョウ</t>
    </rPh>
    <rPh sb="3" eb="5">
      <t>ナガノ</t>
    </rPh>
    <rPh sb="5" eb="7">
      <t>コクドウ</t>
    </rPh>
    <rPh sb="7" eb="9">
      <t>ジム</t>
    </rPh>
    <rPh sb="9" eb="10">
      <t>ショ</t>
    </rPh>
    <rPh sb="11" eb="13">
      <t>オオマチ</t>
    </rPh>
    <rPh sb="13" eb="15">
      <t>ケンセツ</t>
    </rPh>
    <rPh sb="15" eb="17">
      <t>ジム</t>
    </rPh>
    <rPh sb="17" eb="18">
      <t>ショ</t>
    </rPh>
    <phoneticPr fontId="5"/>
  </si>
  <si>
    <t>主　要　河　川　</t>
    <rPh sb="0" eb="1">
      <t>シュ</t>
    </rPh>
    <rPh sb="2" eb="3">
      <t>ヨウ</t>
    </rPh>
    <rPh sb="4" eb="5">
      <t>カワ</t>
    </rPh>
    <rPh sb="6" eb="7">
      <t>カワ</t>
    </rPh>
    <phoneticPr fontId="5"/>
  </si>
  <si>
    <t>令和5年10月1日現在</t>
    <rPh sb="0" eb="1">
      <t>レイ</t>
    </rPh>
    <rPh sb="1" eb="2">
      <t>カズ</t>
    </rPh>
    <rPh sb="3" eb="4">
      <t>ネン</t>
    </rPh>
    <rPh sb="4" eb="5">
      <t>ヘイネン</t>
    </rPh>
    <rPh sb="6" eb="7">
      <t>ガツ</t>
    </rPh>
    <rPh sb="8" eb="9">
      <t>ニチ</t>
    </rPh>
    <rPh sb="9" eb="11">
      <t>ゲンザイ</t>
    </rPh>
    <phoneticPr fontId="5"/>
  </si>
  <si>
    <t xml:space="preserve">河　川　名 </t>
    <rPh sb="0" eb="1">
      <t>カワ</t>
    </rPh>
    <rPh sb="2" eb="3">
      <t>カワ</t>
    </rPh>
    <rPh sb="4" eb="5">
      <t>メイ</t>
    </rPh>
    <phoneticPr fontId="5"/>
  </si>
  <si>
    <t>延　　　　　長</t>
    <rPh sb="0" eb="1">
      <t>エン</t>
    </rPh>
    <rPh sb="6" eb="7">
      <t>チョウ</t>
    </rPh>
    <phoneticPr fontId="5"/>
  </si>
  <si>
    <t>流域面積</t>
    <rPh sb="0" eb="2">
      <t>リュウイキ</t>
    </rPh>
    <rPh sb="2" eb="4">
      <t>メンセキ</t>
    </rPh>
    <phoneticPr fontId="5"/>
  </si>
  <si>
    <t>総　延　長</t>
    <rPh sb="0" eb="1">
      <t>フサ</t>
    </rPh>
    <rPh sb="2" eb="3">
      <t>エン</t>
    </rPh>
    <rPh sb="4" eb="5">
      <t>チョウ</t>
    </rPh>
    <phoneticPr fontId="5"/>
  </si>
  <si>
    <t>市域内延長</t>
    <rPh sb="0" eb="1">
      <t>シ</t>
    </rPh>
    <rPh sb="1" eb="3">
      <t>イキナイ</t>
    </rPh>
    <rPh sb="3" eb="5">
      <t>エンチョウ</t>
    </rPh>
    <phoneticPr fontId="5"/>
  </si>
  <si>
    <t>本川流域面積</t>
    <rPh sb="0" eb="2">
      <t>ホンガワ</t>
    </rPh>
    <rPh sb="2" eb="4">
      <t>リュウイキ</t>
    </rPh>
    <rPh sb="4" eb="6">
      <t>メンセキ</t>
    </rPh>
    <phoneticPr fontId="5"/>
  </si>
  <si>
    <t>市域内面積</t>
    <rPh sb="0" eb="1">
      <t>シ</t>
    </rPh>
    <rPh sb="1" eb="3">
      <t>イキナイ</t>
    </rPh>
    <rPh sb="3" eb="5">
      <t>メンセキ</t>
    </rPh>
    <phoneticPr fontId="5"/>
  </si>
  <si>
    <t>km　　</t>
    <phoneticPr fontId="5"/>
  </si>
  <si>
    <t>k㎡　　</t>
    <phoneticPr fontId="5"/>
  </si>
  <si>
    <t>高瀬川</t>
    <rPh sb="0" eb="2">
      <t>タカセ</t>
    </rPh>
    <rPh sb="2" eb="3">
      <t>ガワ</t>
    </rPh>
    <phoneticPr fontId="5"/>
  </si>
  <si>
    <t>鹿島川</t>
    <rPh sb="0" eb="2">
      <t>カシマ</t>
    </rPh>
    <rPh sb="2" eb="3">
      <t>カワ</t>
    </rPh>
    <phoneticPr fontId="5"/>
  </si>
  <si>
    <t>篭川</t>
    <rPh sb="0" eb="1">
      <t>カゴ</t>
    </rPh>
    <rPh sb="1" eb="2">
      <t>カワ</t>
    </rPh>
    <phoneticPr fontId="5"/>
  </si>
  <si>
    <t>乳川</t>
    <rPh sb="0" eb="1">
      <t>チチ</t>
    </rPh>
    <rPh sb="1" eb="2">
      <t>カワ</t>
    </rPh>
    <phoneticPr fontId="5"/>
  </si>
  <si>
    <t>農具川</t>
  </si>
  <si>
    <t>犀川</t>
    <rPh sb="0" eb="2">
      <t>サイガワ</t>
    </rPh>
    <phoneticPr fontId="5"/>
  </si>
  <si>
    <t>金熊川</t>
  </si>
  <si>
    <t>土尻川</t>
  </si>
  <si>
    <t>藤沢川</t>
  </si>
  <si>
    <t>片岡沢川</t>
  </si>
  <si>
    <t>資料：大町建設事務所</t>
    <rPh sb="0" eb="2">
      <t>シリョウ</t>
    </rPh>
    <rPh sb="3" eb="5">
      <t>オオマチ</t>
    </rPh>
    <rPh sb="5" eb="7">
      <t>ケンセツ</t>
    </rPh>
    <rPh sb="7" eb="9">
      <t>ジム</t>
    </rPh>
    <rPh sb="9" eb="10">
      <t>ショ</t>
    </rPh>
    <phoneticPr fontId="5"/>
  </si>
  <si>
    <t>都市計画用途地域</t>
    <rPh sb="0" eb="2">
      <t>トシ</t>
    </rPh>
    <rPh sb="2" eb="4">
      <t>ケイカク</t>
    </rPh>
    <rPh sb="4" eb="6">
      <t>ヨウト</t>
    </rPh>
    <rPh sb="6" eb="8">
      <t>チイキ</t>
    </rPh>
    <phoneticPr fontId="5"/>
  </si>
  <si>
    <t>（当初決定年月日　昭和48年10月15日　最新決定年月日　令和元年6月30日）</t>
    <rPh sb="1" eb="3">
      <t>トウショ</t>
    </rPh>
    <rPh sb="3" eb="5">
      <t>ケッテイ</t>
    </rPh>
    <rPh sb="5" eb="8">
      <t>ネンガッピ</t>
    </rPh>
    <rPh sb="9" eb="11">
      <t>ショウワ</t>
    </rPh>
    <rPh sb="13" eb="14">
      <t>ネン</t>
    </rPh>
    <rPh sb="16" eb="17">
      <t>ツキ</t>
    </rPh>
    <rPh sb="19" eb="20">
      <t>ニチ</t>
    </rPh>
    <rPh sb="21" eb="23">
      <t>サイシン</t>
    </rPh>
    <rPh sb="23" eb="25">
      <t>ケッテイ</t>
    </rPh>
    <rPh sb="25" eb="28">
      <t>ネンガッピ</t>
    </rPh>
    <rPh sb="29" eb="31">
      <t>レイワ</t>
    </rPh>
    <rPh sb="31" eb="33">
      <t>ガンネン</t>
    </rPh>
    <rPh sb="33" eb="34">
      <t>ヘイネン</t>
    </rPh>
    <rPh sb="34" eb="35">
      <t>ガツ</t>
    </rPh>
    <rPh sb="37" eb="38">
      <t>ニチ</t>
    </rPh>
    <phoneticPr fontId="5"/>
  </si>
  <si>
    <t>第一種
低層住居
専用地域</t>
    <rPh sb="0" eb="1">
      <t>ダイ</t>
    </rPh>
    <rPh sb="1" eb="2">
      <t>イチ</t>
    </rPh>
    <rPh sb="2" eb="3">
      <t>シュ</t>
    </rPh>
    <rPh sb="4" eb="6">
      <t>テイソウ</t>
    </rPh>
    <rPh sb="6" eb="8">
      <t>ジュウキョ</t>
    </rPh>
    <rPh sb="9" eb="11">
      <t>センヨウ</t>
    </rPh>
    <rPh sb="11" eb="13">
      <t>チイキ</t>
    </rPh>
    <phoneticPr fontId="5"/>
  </si>
  <si>
    <t>第二種
低層住居
専用地域</t>
    <rPh sb="1" eb="2">
      <t>2</t>
    </rPh>
    <phoneticPr fontId="5"/>
  </si>
  <si>
    <t>第一種
中高層住居
専用地域</t>
    <rPh sb="0" eb="1">
      <t>ダイ</t>
    </rPh>
    <rPh sb="1" eb="2">
      <t>1</t>
    </rPh>
    <rPh sb="2" eb="3">
      <t>シュ</t>
    </rPh>
    <rPh sb="4" eb="5">
      <t>チュウコウ</t>
    </rPh>
    <rPh sb="5" eb="6">
      <t>コウ</t>
    </rPh>
    <rPh sb="6" eb="7">
      <t>ソウ</t>
    </rPh>
    <rPh sb="7" eb="9">
      <t>ジュウキョ</t>
    </rPh>
    <rPh sb="10" eb="12">
      <t>センヨウ</t>
    </rPh>
    <rPh sb="12" eb="14">
      <t>チイキ</t>
    </rPh>
    <phoneticPr fontId="5"/>
  </si>
  <si>
    <t>第二種
中高層住居
専用地域</t>
    <rPh sb="0" eb="1">
      <t>ダイ</t>
    </rPh>
    <rPh sb="1" eb="2">
      <t>2</t>
    </rPh>
    <rPh sb="2" eb="3">
      <t>シュ</t>
    </rPh>
    <rPh sb="4" eb="5">
      <t>チュウコウ</t>
    </rPh>
    <rPh sb="5" eb="6">
      <t>コウ</t>
    </rPh>
    <rPh sb="6" eb="7">
      <t>ソウ</t>
    </rPh>
    <rPh sb="7" eb="9">
      <t>ジュウキョ</t>
    </rPh>
    <rPh sb="10" eb="12">
      <t>センヨウ</t>
    </rPh>
    <rPh sb="12" eb="14">
      <t>チイキ</t>
    </rPh>
    <phoneticPr fontId="5"/>
  </si>
  <si>
    <t>第一種
住居地域</t>
    <rPh sb="0" eb="1">
      <t>ダイ</t>
    </rPh>
    <rPh sb="1" eb="2">
      <t>1</t>
    </rPh>
    <rPh sb="2" eb="3">
      <t>シュ</t>
    </rPh>
    <rPh sb="4" eb="6">
      <t>ジュウキョ</t>
    </rPh>
    <rPh sb="6" eb="8">
      <t>チイキ</t>
    </rPh>
    <phoneticPr fontId="5"/>
  </si>
  <si>
    <t>第二種
住居地域</t>
    <rPh sb="0" eb="1">
      <t>ダイ</t>
    </rPh>
    <rPh sb="1" eb="2">
      <t>2</t>
    </rPh>
    <rPh sb="2" eb="3">
      <t>シュ</t>
    </rPh>
    <rPh sb="4" eb="6">
      <t>ジュウキョ</t>
    </rPh>
    <rPh sb="6" eb="8">
      <t>チイキ</t>
    </rPh>
    <phoneticPr fontId="5"/>
  </si>
  <si>
    <t>準住居
地域</t>
    <rPh sb="0" eb="1">
      <t>ジュン</t>
    </rPh>
    <rPh sb="1" eb="3">
      <t>ジュウキョ</t>
    </rPh>
    <rPh sb="4" eb="6">
      <t>チイキ</t>
    </rPh>
    <phoneticPr fontId="5"/>
  </si>
  <si>
    <t>近隣商業
地域</t>
    <rPh sb="0" eb="1">
      <t>キンコウ</t>
    </rPh>
    <rPh sb="1" eb="2">
      <t>トナリ</t>
    </rPh>
    <rPh sb="2" eb="4">
      <t>ショウギョウ</t>
    </rPh>
    <rPh sb="5" eb="7">
      <t>チイキ</t>
    </rPh>
    <phoneticPr fontId="5"/>
  </si>
  <si>
    <t>商業地域</t>
    <rPh sb="0" eb="2">
      <t>ショウギョウ</t>
    </rPh>
    <rPh sb="2" eb="4">
      <t>チイキ</t>
    </rPh>
    <phoneticPr fontId="5"/>
  </si>
  <si>
    <t>準工業
地域</t>
    <rPh sb="0" eb="1">
      <t>ジュン</t>
    </rPh>
    <rPh sb="1" eb="3">
      <t>コウギョウ</t>
    </rPh>
    <rPh sb="4" eb="6">
      <t>チイキ</t>
    </rPh>
    <phoneticPr fontId="5"/>
  </si>
  <si>
    <t>工業地域</t>
    <rPh sb="0" eb="2">
      <t>コウギョウ</t>
    </rPh>
    <rPh sb="2" eb="4">
      <t>チイキ</t>
    </rPh>
    <phoneticPr fontId="5"/>
  </si>
  <si>
    <t>工業専用
地域</t>
    <rPh sb="0" eb="2">
      <t>コウギョウ</t>
    </rPh>
    <rPh sb="2" eb="4">
      <t>センヨウ</t>
    </rPh>
    <rPh sb="5" eb="7">
      <t>チイキ</t>
    </rPh>
    <phoneticPr fontId="5"/>
  </si>
  <si>
    <t>面     積　
(ha)</t>
    <rPh sb="0" eb="1">
      <t>メン</t>
    </rPh>
    <rPh sb="6" eb="7">
      <t>セキ</t>
    </rPh>
    <phoneticPr fontId="5"/>
  </si>
  <si>
    <t>約129</t>
    <rPh sb="0" eb="1">
      <t>ヤク</t>
    </rPh>
    <phoneticPr fontId="5"/>
  </si>
  <si>
    <t>合計
約838</t>
    <rPh sb="0" eb="2">
      <t>ゴウケイ</t>
    </rPh>
    <rPh sb="3" eb="4">
      <t>ヤク</t>
    </rPh>
    <phoneticPr fontId="5"/>
  </si>
  <si>
    <t>容積率　　(%)</t>
    <rPh sb="0" eb="2">
      <t>ヨウセキ</t>
    </rPh>
    <rPh sb="2" eb="3">
      <t>リツ</t>
    </rPh>
    <phoneticPr fontId="5"/>
  </si>
  <si>
    <t>60～80</t>
    <phoneticPr fontId="5"/>
  </si>
  <si>
    <t>40～50</t>
    <phoneticPr fontId="5"/>
  </si>
  <si>
    <t>道路斜線</t>
    <rPh sb="0" eb="2">
      <t>ドウロ</t>
    </rPh>
    <rPh sb="2" eb="4">
      <t>シャセン</t>
    </rPh>
    <phoneticPr fontId="5"/>
  </si>
  <si>
    <t>建築物の
高さ(m)</t>
    <rPh sb="0" eb="2">
      <t>ケンチク</t>
    </rPh>
    <rPh sb="2" eb="3">
      <t>ブツ</t>
    </rPh>
    <rPh sb="5" eb="6">
      <t>タカ</t>
    </rPh>
    <phoneticPr fontId="5"/>
  </si>
  <si>
    <t>資料：令和元年都市計画基礎調査</t>
    <rPh sb="0" eb="2">
      <t>シリョウ</t>
    </rPh>
    <rPh sb="3" eb="5">
      <t>レイワ</t>
    </rPh>
    <rPh sb="5" eb="6">
      <t>ガン</t>
    </rPh>
    <rPh sb="6" eb="7">
      <t>ネン</t>
    </rPh>
    <rPh sb="7" eb="9">
      <t>トシ</t>
    </rPh>
    <rPh sb="9" eb="11">
      <t>ケイカク</t>
    </rPh>
    <rPh sb="11" eb="13">
      <t>キソ</t>
    </rPh>
    <rPh sb="13" eb="15">
      <t>チョウサ</t>
    </rPh>
    <phoneticPr fontId="5"/>
  </si>
  <si>
    <t>建築確認申請の状況</t>
    <rPh sb="0" eb="2">
      <t>ケンチク</t>
    </rPh>
    <rPh sb="2" eb="4">
      <t>カクニン</t>
    </rPh>
    <rPh sb="4" eb="6">
      <t>シンセイ</t>
    </rPh>
    <rPh sb="7" eb="9">
      <t>ジョウキョウ</t>
    </rPh>
    <phoneticPr fontId="5"/>
  </si>
  <si>
    <t>新　築</t>
    <rPh sb="0" eb="1">
      <t>シン</t>
    </rPh>
    <rPh sb="2" eb="3">
      <t>チク</t>
    </rPh>
    <phoneticPr fontId="5"/>
  </si>
  <si>
    <t>増　築</t>
    <rPh sb="0" eb="1">
      <t>ゾウ</t>
    </rPh>
    <rPh sb="2" eb="3">
      <t>チク</t>
    </rPh>
    <phoneticPr fontId="5"/>
  </si>
  <si>
    <t>改　築</t>
    <rPh sb="0" eb="1">
      <t>アラタ</t>
    </rPh>
    <rPh sb="2" eb="3">
      <t>チク</t>
    </rPh>
    <phoneticPr fontId="5"/>
  </si>
  <si>
    <t>移　転</t>
    <rPh sb="0" eb="1">
      <t>ワタル</t>
    </rPh>
    <rPh sb="2" eb="3">
      <t>テン</t>
    </rPh>
    <phoneticPr fontId="5"/>
  </si>
  <si>
    <t>増改築</t>
    <rPh sb="0" eb="3">
      <t>ゾウカイチク</t>
    </rPh>
    <phoneticPr fontId="5"/>
  </si>
  <si>
    <t>修　繕</t>
    <rPh sb="0" eb="1">
      <t>オサム</t>
    </rPh>
    <rPh sb="2" eb="3">
      <t>ツクロ</t>
    </rPh>
    <phoneticPr fontId="5"/>
  </si>
  <si>
    <t>用途変更</t>
    <rPh sb="0" eb="2">
      <t>ヨウト</t>
    </rPh>
    <rPh sb="2" eb="4">
      <t>ヘンコウ</t>
    </rPh>
    <phoneticPr fontId="5"/>
  </si>
  <si>
    <t>工作物</t>
    <rPh sb="0" eb="3">
      <t>コウサクブツ</t>
    </rPh>
    <phoneticPr fontId="5"/>
  </si>
  <si>
    <t xml:space="preserve">資料：建設課 </t>
    <rPh sb="0" eb="2">
      <t>シリョウ</t>
    </rPh>
    <rPh sb="3" eb="5">
      <t>ケンセツ</t>
    </rPh>
    <rPh sb="5" eb="6">
      <t>カ</t>
    </rPh>
    <phoneticPr fontId="5"/>
  </si>
  <si>
    <t xml:space="preserve"> 注1）民間確認検査機関で確認を行ったものを含む。</t>
    <phoneticPr fontId="5"/>
  </si>
  <si>
    <t xml:space="preserve"> 注2）計画変更及び除却届は含まない。</t>
    <phoneticPr fontId="5"/>
  </si>
  <si>
    <t>都　市　施　設</t>
    <rPh sb="0" eb="1">
      <t>ミヤコ</t>
    </rPh>
    <rPh sb="2" eb="3">
      <t>シ</t>
    </rPh>
    <rPh sb="4" eb="5">
      <t>ホドコ</t>
    </rPh>
    <rPh sb="6" eb="7">
      <t>セツ</t>
    </rPh>
    <phoneticPr fontId="5"/>
  </si>
  <si>
    <t>都市施設</t>
    <rPh sb="0" eb="2">
      <t>トシ</t>
    </rPh>
    <rPh sb="2" eb="4">
      <t>シセツ</t>
    </rPh>
    <phoneticPr fontId="5"/>
  </si>
  <si>
    <t>内訳</t>
    <rPh sb="0" eb="1">
      <t>ウチ</t>
    </rPh>
    <rPh sb="1" eb="2">
      <t>ヤク</t>
    </rPh>
    <phoneticPr fontId="5"/>
  </si>
  <si>
    <t>名称</t>
    <rPh sb="0" eb="2">
      <t>メイショウ</t>
    </rPh>
    <phoneticPr fontId="5"/>
  </si>
  <si>
    <t>面積・延長</t>
    <rPh sb="0" eb="2">
      <t>メンセキ</t>
    </rPh>
    <rPh sb="3" eb="5">
      <t>エンチョウ</t>
    </rPh>
    <phoneticPr fontId="5"/>
  </si>
  <si>
    <t>最新決定年月日</t>
    <rPh sb="0" eb="2">
      <t>サイシン</t>
    </rPh>
    <rPh sb="2" eb="4">
      <t>ケッテイ</t>
    </rPh>
    <rPh sb="4" eb="7">
      <t>ネンガッピ</t>
    </rPh>
    <phoneticPr fontId="5"/>
  </si>
  <si>
    <t>当初決定年月日</t>
    <rPh sb="0" eb="2">
      <t>トウショ</t>
    </rPh>
    <rPh sb="2" eb="4">
      <t>ケッテイ</t>
    </rPh>
    <rPh sb="4" eb="7">
      <t>ネンガッピ</t>
    </rPh>
    <phoneticPr fontId="5"/>
  </si>
  <si>
    <t>都市公園</t>
    <rPh sb="0" eb="2">
      <t>トシ</t>
    </rPh>
    <rPh sb="2" eb="4">
      <t>コウエン</t>
    </rPh>
    <phoneticPr fontId="5"/>
  </si>
  <si>
    <t>3・3・1　西公園（近隣公園）</t>
    <rPh sb="6" eb="7">
      <t>ニシ</t>
    </rPh>
    <rPh sb="7" eb="9">
      <t>コウエン</t>
    </rPh>
    <rPh sb="10" eb="12">
      <t>キンリン</t>
    </rPh>
    <rPh sb="12" eb="14">
      <t>コウエン</t>
    </rPh>
    <phoneticPr fontId="5"/>
  </si>
  <si>
    <t>昭和</t>
    <rPh sb="0" eb="2">
      <t>ショウワ</t>
    </rPh>
    <phoneticPr fontId="5"/>
  </si>
  <si>
    <t>月</t>
    <rPh sb="0" eb="1">
      <t>ガツ</t>
    </rPh>
    <phoneticPr fontId="5"/>
  </si>
  <si>
    <t>3・3・2　大町文化公園（近隣公園）</t>
    <phoneticPr fontId="5"/>
  </si>
  <si>
    <t>4・4・1　大町公園（地区公園）</t>
    <rPh sb="6" eb="8">
      <t>オオマチ</t>
    </rPh>
    <rPh sb="8" eb="10">
      <t>コウエン</t>
    </rPh>
    <rPh sb="11" eb="13">
      <t>チク</t>
    </rPh>
    <rPh sb="13" eb="15">
      <t>コウエン</t>
    </rPh>
    <phoneticPr fontId="5"/>
  </si>
  <si>
    <t>6・5・1　大町運動公園（運動公園）</t>
    <phoneticPr fontId="5"/>
  </si>
  <si>
    <t>1号　　　高瀬渓谷緑地公園（都市緑地）</t>
    <rPh sb="1" eb="2">
      <t>ゴウ</t>
    </rPh>
    <rPh sb="11" eb="13">
      <t>コウエン</t>
    </rPh>
    <phoneticPr fontId="5"/>
  </si>
  <si>
    <t>2号　　　大町駅前広場公園（都市緑地）</t>
    <rPh sb="1" eb="2">
      <t>ゴウ</t>
    </rPh>
    <rPh sb="5" eb="7">
      <t>オオマチ</t>
    </rPh>
    <rPh sb="7" eb="8">
      <t>エキ</t>
    </rPh>
    <rPh sb="8" eb="9">
      <t>マエ</t>
    </rPh>
    <rPh sb="9" eb="11">
      <t>ヒロバ</t>
    </rPh>
    <rPh sb="11" eb="13">
      <t>コウエン</t>
    </rPh>
    <rPh sb="14" eb="16">
      <t>トシ</t>
    </rPh>
    <rPh sb="16" eb="18">
      <t>リョクチ</t>
    </rPh>
    <phoneticPr fontId="5"/>
  </si>
  <si>
    <t>9・6・1　アルプスあづみの公園（国営公園）</t>
    <rPh sb="14" eb="16">
      <t>コウエン</t>
    </rPh>
    <rPh sb="17" eb="19">
      <t>コクエイ</t>
    </rPh>
    <rPh sb="19" eb="21">
      <t>コウエン</t>
    </rPh>
    <phoneticPr fontId="5"/>
  </si>
  <si>
    <t>3・3・3　やしろ公園（近隣公園）</t>
    <rPh sb="9" eb="11">
      <t>コウエン</t>
    </rPh>
    <rPh sb="12" eb="14">
      <t>キンリン</t>
    </rPh>
    <rPh sb="14" eb="16">
      <t>コウエン</t>
    </rPh>
    <phoneticPr fontId="5"/>
  </si>
  <si>
    <t>公　共
下水道</t>
    <rPh sb="0" eb="1">
      <t>コウ</t>
    </rPh>
    <rPh sb="2" eb="3">
      <t>トモ</t>
    </rPh>
    <rPh sb="4" eb="7">
      <t>ゲスイドウ</t>
    </rPh>
    <phoneticPr fontId="5"/>
  </si>
  <si>
    <t>汚水</t>
    <rPh sb="0" eb="1">
      <t>ヨゴ</t>
    </rPh>
    <rPh sb="1" eb="2">
      <t>ミズ</t>
    </rPh>
    <phoneticPr fontId="5"/>
  </si>
  <si>
    <t>大町市公共下水道（大町処理区）</t>
    <rPh sb="0" eb="2">
      <t>オオマチ</t>
    </rPh>
    <rPh sb="2" eb="3">
      <t>シ</t>
    </rPh>
    <rPh sb="3" eb="5">
      <t>コウキョウ</t>
    </rPh>
    <rPh sb="5" eb="7">
      <t>ゲスイ</t>
    </rPh>
    <rPh sb="7" eb="8">
      <t>ドウ</t>
    </rPh>
    <rPh sb="9" eb="11">
      <t>オオマチ</t>
    </rPh>
    <rPh sb="11" eb="13">
      <t>ショリ</t>
    </rPh>
    <rPh sb="13" eb="14">
      <t>ク</t>
    </rPh>
    <phoneticPr fontId="5"/>
  </si>
  <si>
    <t>大町市特定環境保全公共下水道（常盤処理区）</t>
    <rPh sb="0" eb="3">
      <t>オオマチシ</t>
    </rPh>
    <rPh sb="3" eb="5">
      <t>トクテイ</t>
    </rPh>
    <rPh sb="5" eb="7">
      <t>カンキョウ</t>
    </rPh>
    <rPh sb="7" eb="9">
      <t>ホゼン</t>
    </rPh>
    <rPh sb="9" eb="11">
      <t>コウキョウ</t>
    </rPh>
    <rPh sb="11" eb="14">
      <t>ゲスイドウ</t>
    </rPh>
    <rPh sb="15" eb="17">
      <t>トキワ</t>
    </rPh>
    <rPh sb="17" eb="19">
      <t>ショリ</t>
    </rPh>
    <rPh sb="19" eb="20">
      <t>ク</t>
    </rPh>
    <phoneticPr fontId="5"/>
  </si>
  <si>
    <t>大町市特定環境保全公共下水道（仁科三湖処理区）</t>
    <rPh sb="0" eb="3">
      <t>オオマチシ</t>
    </rPh>
    <rPh sb="3" eb="5">
      <t>トクテイ</t>
    </rPh>
    <rPh sb="5" eb="7">
      <t>カンキョウ</t>
    </rPh>
    <rPh sb="7" eb="9">
      <t>ホゼン</t>
    </rPh>
    <rPh sb="9" eb="11">
      <t>コウキョウ</t>
    </rPh>
    <rPh sb="11" eb="14">
      <t>ゲスイドウ</t>
    </rPh>
    <rPh sb="15" eb="17">
      <t>ニシナ</t>
    </rPh>
    <rPh sb="17" eb="18">
      <t>サン</t>
    </rPh>
    <rPh sb="18" eb="19">
      <t>コ</t>
    </rPh>
    <rPh sb="19" eb="21">
      <t>ショリ</t>
    </rPh>
    <rPh sb="21" eb="22">
      <t>ク</t>
    </rPh>
    <phoneticPr fontId="5"/>
  </si>
  <si>
    <t>雨水</t>
    <rPh sb="0" eb="2">
      <t>ウスイ</t>
    </rPh>
    <phoneticPr fontId="5"/>
  </si>
  <si>
    <t>農具川右岸第４排水区</t>
    <rPh sb="0" eb="1">
      <t>ノウ</t>
    </rPh>
    <rPh sb="1" eb="2">
      <t>グ</t>
    </rPh>
    <rPh sb="2" eb="3">
      <t>カワ</t>
    </rPh>
    <rPh sb="3" eb="4">
      <t>ミギ</t>
    </rPh>
    <rPh sb="4" eb="5">
      <t>キシ</t>
    </rPh>
    <rPh sb="5" eb="6">
      <t>ダイ</t>
    </rPh>
    <rPh sb="7" eb="9">
      <t>ハイスイ</t>
    </rPh>
    <rPh sb="9" eb="10">
      <t>ク</t>
    </rPh>
    <phoneticPr fontId="5"/>
  </si>
  <si>
    <t>都市計画街路</t>
    <rPh sb="0" eb="2">
      <t>トシ</t>
    </rPh>
    <rPh sb="2" eb="4">
      <t>ケイカク</t>
    </rPh>
    <rPh sb="4" eb="6">
      <t>ガイロ</t>
    </rPh>
    <phoneticPr fontId="5"/>
  </si>
  <si>
    <t>3・3・1 白塩北原線</t>
    <rPh sb="6" eb="7">
      <t>シロ</t>
    </rPh>
    <rPh sb="7" eb="8">
      <t>シオ</t>
    </rPh>
    <rPh sb="8" eb="9">
      <t>キタ</t>
    </rPh>
    <rPh sb="9" eb="10">
      <t>ハラ</t>
    </rPh>
    <rPh sb="10" eb="11">
      <t>セン</t>
    </rPh>
    <phoneticPr fontId="5"/>
  </si>
  <si>
    <t>3・3・2　館の内借馬線</t>
    <rPh sb="6" eb="7">
      <t>タテ</t>
    </rPh>
    <rPh sb="8" eb="9">
      <t>ウチ</t>
    </rPh>
    <rPh sb="9" eb="11">
      <t>カルマ</t>
    </rPh>
    <rPh sb="11" eb="12">
      <t>セン</t>
    </rPh>
    <phoneticPr fontId="5"/>
  </si>
  <si>
    <t>3・4・4　中央通り線</t>
    <rPh sb="6" eb="8">
      <t>チュウオウ</t>
    </rPh>
    <rPh sb="8" eb="9">
      <t>トオ</t>
    </rPh>
    <rPh sb="10" eb="11">
      <t>セン</t>
    </rPh>
    <phoneticPr fontId="5"/>
  </si>
  <si>
    <t>3・4・5　若宮駅前線</t>
    <rPh sb="6" eb="7">
      <t>ワカ</t>
    </rPh>
    <rPh sb="7" eb="8">
      <t>ミヤ</t>
    </rPh>
    <rPh sb="8" eb="9">
      <t>エキ</t>
    </rPh>
    <rPh sb="9" eb="10">
      <t>マエ</t>
    </rPh>
    <rPh sb="10" eb="11">
      <t>セン</t>
    </rPh>
    <phoneticPr fontId="5"/>
  </si>
  <si>
    <t>3・4・6　桜田町俵町線</t>
    <rPh sb="6" eb="9">
      <t>サクラダマチ</t>
    </rPh>
    <rPh sb="9" eb="11">
      <t>タワラマチ</t>
    </rPh>
    <rPh sb="11" eb="12">
      <t>セン</t>
    </rPh>
    <phoneticPr fontId="5"/>
  </si>
  <si>
    <t>3・5・7  曽山観音橋線</t>
    <rPh sb="7" eb="8">
      <t>ソネ</t>
    </rPh>
    <rPh sb="8" eb="9">
      <t>ヤマ</t>
    </rPh>
    <rPh sb="9" eb="10">
      <t>カン</t>
    </rPh>
    <rPh sb="10" eb="11">
      <t>オト</t>
    </rPh>
    <rPh sb="11" eb="12">
      <t>ハシ</t>
    </rPh>
    <rPh sb="12" eb="13">
      <t>セン</t>
    </rPh>
    <phoneticPr fontId="5"/>
  </si>
  <si>
    <t>3・5・8　三日町犬ノ窪線</t>
    <rPh sb="6" eb="9">
      <t>ミッカマチ</t>
    </rPh>
    <rPh sb="9" eb="10">
      <t>イヌ</t>
    </rPh>
    <rPh sb="11" eb="12">
      <t>クボ</t>
    </rPh>
    <rPh sb="12" eb="13">
      <t>セン</t>
    </rPh>
    <phoneticPr fontId="5"/>
  </si>
  <si>
    <t>3・5・9　相生町野口線</t>
    <rPh sb="6" eb="8">
      <t>アイオイ</t>
    </rPh>
    <rPh sb="8" eb="9">
      <t>マチ</t>
    </rPh>
    <rPh sb="9" eb="10">
      <t>ノ</t>
    </rPh>
    <rPh sb="10" eb="11">
      <t>クチ</t>
    </rPh>
    <rPh sb="11" eb="12">
      <t>セン</t>
    </rPh>
    <phoneticPr fontId="5"/>
  </si>
  <si>
    <t>3・5・10　東町線</t>
    <rPh sb="7" eb="9">
      <t>ヒガシマチ</t>
    </rPh>
    <rPh sb="9" eb="10">
      <t>セン</t>
    </rPh>
    <phoneticPr fontId="5"/>
  </si>
  <si>
    <t>3・4・12　あづみの公園大町線</t>
    <rPh sb="11" eb="13">
      <t>コウエン</t>
    </rPh>
    <rPh sb="13" eb="15">
      <t>オオマチ</t>
    </rPh>
    <rPh sb="15" eb="16">
      <t>セン</t>
    </rPh>
    <phoneticPr fontId="5"/>
  </si>
  <si>
    <t>駅前交通広場</t>
    <rPh sb="0" eb="2">
      <t>エキマエ</t>
    </rPh>
    <rPh sb="2" eb="4">
      <t>コウツウ</t>
    </rPh>
    <rPh sb="4" eb="6">
      <t>ヒロバ</t>
    </rPh>
    <phoneticPr fontId="5"/>
  </si>
  <si>
    <t>駐車場</t>
    <rPh sb="0" eb="3">
      <t>チュウシャジョウ</t>
    </rPh>
    <phoneticPr fontId="5"/>
  </si>
  <si>
    <t>木崎湖駐車場</t>
    <rPh sb="0" eb="2">
      <t>キザキ</t>
    </rPh>
    <rPh sb="2" eb="3">
      <t>コ</t>
    </rPh>
    <rPh sb="3" eb="6">
      <t>チュウシャジョウ</t>
    </rPh>
    <phoneticPr fontId="5"/>
  </si>
  <si>
    <t>処理施設</t>
    <rPh sb="0" eb="2">
      <t>ショリ</t>
    </rPh>
    <rPh sb="2" eb="4">
      <t>シセツ</t>
    </rPh>
    <phoneticPr fontId="5"/>
  </si>
  <si>
    <t>大町市環境プラント（ごみ焼却場）・　　　　　　大町市クリーンプラント（し尿等処理場）　　　　　　</t>
    <rPh sb="0" eb="3">
      <t>オオマチシ</t>
    </rPh>
    <rPh sb="3" eb="5">
      <t>カンキョウ</t>
    </rPh>
    <rPh sb="12" eb="14">
      <t>ショウキャク</t>
    </rPh>
    <rPh sb="14" eb="15">
      <t>ジョウ</t>
    </rPh>
    <rPh sb="23" eb="26">
      <t>オオマチシ</t>
    </rPh>
    <rPh sb="36" eb="38">
      <t>ニョウナド</t>
    </rPh>
    <rPh sb="38" eb="41">
      <t>ショリジョウ</t>
    </rPh>
    <phoneticPr fontId="5"/>
  </si>
  <si>
    <t>資料：令和元年都市計画基礎調査を加工・編集</t>
    <rPh sb="0" eb="2">
      <t>シリョウ</t>
    </rPh>
    <rPh sb="3" eb="5">
      <t>レイワ</t>
    </rPh>
    <rPh sb="5" eb="7">
      <t>ガンネン</t>
    </rPh>
    <rPh sb="7" eb="11">
      <t>トシケイカク</t>
    </rPh>
    <rPh sb="11" eb="13">
      <t>キソ</t>
    </rPh>
    <rPh sb="13" eb="15">
      <t>チョウサ</t>
    </rPh>
    <rPh sb="16" eb="18">
      <t>カコウ</t>
    </rPh>
    <rPh sb="19" eb="21">
      <t>ヘンシュウ</t>
    </rPh>
    <phoneticPr fontId="5"/>
  </si>
  <si>
    <t>大町市水道事業普及状況</t>
    <rPh sb="0" eb="3">
      <t>オオマチシ</t>
    </rPh>
    <rPh sb="3" eb="5">
      <t>スイドウ</t>
    </rPh>
    <rPh sb="5" eb="7">
      <t>ジギョウ</t>
    </rPh>
    <rPh sb="7" eb="9">
      <t>フキュウ</t>
    </rPh>
    <rPh sb="9" eb="11">
      <t>ジョウキョウ</t>
    </rPh>
    <phoneticPr fontId="5"/>
  </si>
  <si>
    <t>給　水　区　域　内</t>
    <rPh sb="0" eb="1">
      <t>キュウ</t>
    </rPh>
    <rPh sb="2" eb="3">
      <t>ミズ</t>
    </rPh>
    <rPh sb="4" eb="5">
      <t>ク</t>
    </rPh>
    <rPh sb="6" eb="7">
      <t>イキ</t>
    </rPh>
    <rPh sb="8" eb="9">
      <t>ナイ</t>
    </rPh>
    <phoneticPr fontId="5"/>
  </si>
  <si>
    <t>現　在　給　水</t>
    <rPh sb="0" eb="1">
      <t>ゲン</t>
    </rPh>
    <rPh sb="2" eb="3">
      <t>ザイ</t>
    </rPh>
    <rPh sb="4" eb="5">
      <t>キュウ</t>
    </rPh>
    <rPh sb="6" eb="7">
      <t>ミズ</t>
    </rPh>
    <phoneticPr fontId="5"/>
  </si>
  <si>
    <t>普　　及　　率</t>
    <rPh sb="0" eb="1">
      <t>アマネ</t>
    </rPh>
    <rPh sb="3" eb="4">
      <t>オヨ</t>
    </rPh>
    <rPh sb="6" eb="7">
      <t>リツ</t>
    </rPh>
    <phoneticPr fontId="5"/>
  </si>
  <si>
    <t>世帯</t>
    <rPh sb="0" eb="1">
      <t>ヨ</t>
    </rPh>
    <rPh sb="1" eb="2">
      <t>オビ</t>
    </rPh>
    <phoneticPr fontId="5"/>
  </si>
  <si>
    <t>人口</t>
    <rPh sb="0" eb="1">
      <t>ヒト</t>
    </rPh>
    <rPh sb="1" eb="2">
      <t>クチ</t>
    </rPh>
    <phoneticPr fontId="5"/>
  </si>
  <si>
    <t>戸</t>
    <rPh sb="0" eb="1">
      <t>コ</t>
    </rPh>
    <phoneticPr fontId="5"/>
  </si>
  <si>
    <t>令和元年度</t>
    <rPh sb="0" eb="2">
      <t>レイワ</t>
    </rPh>
    <phoneticPr fontId="5"/>
  </si>
  <si>
    <t>資料：上下水道課</t>
    <rPh sb="0" eb="2">
      <t>シリョウ</t>
    </rPh>
    <rPh sb="3" eb="5">
      <t>ジョウゲ</t>
    </rPh>
    <rPh sb="5" eb="8">
      <t>スイドウカ</t>
    </rPh>
    <phoneticPr fontId="5"/>
  </si>
  <si>
    <t>大町市公営簡易水道事業普及状況</t>
    <rPh sb="0" eb="3">
      <t>オオマチシ</t>
    </rPh>
    <rPh sb="3" eb="5">
      <t>コウエイ</t>
    </rPh>
    <rPh sb="5" eb="7">
      <t>カンイ</t>
    </rPh>
    <rPh sb="7" eb="9">
      <t>スイドウ</t>
    </rPh>
    <rPh sb="9" eb="11">
      <t>ジギョウ</t>
    </rPh>
    <phoneticPr fontId="5"/>
  </si>
  <si>
    <t>資料：上下水道課</t>
    <rPh sb="0" eb="2">
      <t>シリョウ</t>
    </rPh>
    <rPh sb="3" eb="5">
      <t>ジョウゲ</t>
    </rPh>
    <rPh sb="5" eb="7">
      <t>スイドウ</t>
    </rPh>
    <rPh sb="7" eb="8">
      <t>カ</t>
    </rPh>
    <phoneticPr fontId="5"/>
  </si>
  <si>
    <t>大町市水道事業配水量の推移</t>
    <rPh sb="0" eb="3">
      <t>オオマチシ</t>
    </rPh>
    <rPh sb="3" eb="5">
      <t>スイドウ</t>
    </rPh>
    <rPh sb="5" eb="7">
      <t>ジギョウ</t>
    </rPh>
    <rPh sb="7" eb="9">
      <t>ハイスイ</t>
    </rPh>
    <rPh sb="9" eb="10">
      <t>リョウ</t>
    </rPh>
    <rPh sb="11" eb="13">
      <t>スイイ</t>
    </rPh>
    <phoneticPr fontId="5"/>
  </si>
  <si>
    <t>年間配水
総量</t>
    <rPh sb="0" eb="2">
      <t>ネンカン</t>
    </rPh>
    <rPh sb="2" eb="4">
      <t>ハイスイ</t>
    </rPh>
    <rPh sb="5" eb="7">
      <t>ソウリョウ</t>
    </rPh>
    <phoneticPr fontId="5"/>
  </si>
  <si>
    <t>1日最大配水量</t>
    <rPh sb="1" eb="2">
      <t>ニチ</t>
    </rPh>
    <rPh sb="2" eb="4">
      <t>サイダイ</t>
    </rPh>
    <rPh sb="4" eb="6">
      <t>ハイスイ</t>
    </rPh>
    <rPh sb="6" eb="7">
      <t>リョウ</t>
    </rPh>
    <phoneticPr fontId="5"/>
  </si>
  <si>
    <t>1日
平均
配水量</t>
    <rPh sb="1" eb="2">
      <t>ニチ</t>
    </rPh>
    <rPh sb="3" eb="5">
      <t>ヘイキン</t>
    </rPh>
    <rPh sb="6" eb="8">
      <t>ハイスイ</t>
    </rPh>
    <rPh sb="8" eb="9">
      <t>リョウ</t>
    </rPh>
    <phoneticPr fontId="5"/>
  </si>
  <si>
    <t>1日1人
最大
配水量</t>
    <rPh sb="1" eb="2">
      <t>ニチ</t>
    </rPh>
    <rPh sb="3" eb="4">
      <t>ヒト</t>
    </rPh>
    <rPh sb="5" eb="7">
      <t>サイダイ</t>
    </rPh>
    <rPh sb="8" eb="10">
      <t>ハイスイ</t>
    </rPh>
    <rPh sb="10" eb="11">
      <t>リョウ</t>
    </rPh>
    <phoneticPr fontId="5"/>
  </si>
  <si>
    <t>1日1人
平均
配水量</t>
    <rPh sb="1" eb="2">
      <t>ニチ</t>
    </rPh>
    <rPh sb="3" eb="4">
      <t>ニン</t>
    </rPh>
    <rPh sb="5" eb="7">
      <t>ヘイキン</t>
    </rPh>
    <rPh sb="8" eb="10">
      <t>ハイスイ</t>
    </rPh>
    <rPh sb="10" eb="11">
      <t>リョウ</t>
    </rPh>
    <phoneticPr fontId="5"/>
  </si>
  <si>
    <t>有効水量</t>
    <rPh sb="0" eb="2">
      <t>ユウコウ</t>
    </rPh>
    <rPh sb="2" eb="4">
      <t>スイリョウ</t>
    </rPh>
    <phoneticPr fontId="5"/>
  </si>
  <si>
    <t>無効水量</t>
    <rPh sb="0" eb="1">
      <t>ム</t>
    </rPh>
    <rPh sb="1" eb="2">
      <t>コウ</t>
    </rPh>
    <rPh sb="2" eb="4">
      <t>スイリョウ</t>
    </rPh>
    <phoneticPr fontId="5"/>
  </si>
  <si>
    <t>有収水量
比率</t>
    <rPh sb="0" eb="1">
      <t>ユウ</t>
    </rPh>
    <rPh sb="1" eb="2">
      <t>シュウ</t>
    </rPh>
    <rPh sb="2" eb="4">
      <t>スイリョウ</t>
    </rPh>
    <rPh sb="5" eb="6">
      <t>ヒ</t>
    </rPh>
    <rPh sb="6" eb="7">
      <t>リツ</t>
    </rPh>
    <phoneticPr fontId="5"/>
  </si>
  <si>
    <t>有効水量
比率</t>
    <rPh sb="0" eb="2">
      <t>ユウコウ</t>
    </rPh>
    <rPh sb="2" eb="4">
      <t>スイリョウ</t>
    </rPh>
    <rPh sb="5" eb="7">
      <t>ヒリツ</t>
    </rPh>
    <phoneticPr fontId="5"/>
  </si>
  <si>
    <t>月日</t>
    <rPh sb="0" eb="2">
      <t>ツキヒ</t>
    </rPh>
    <phoneticPr fontId="5"/>
  </si>
  <si>
    <t>水量</t>
    <rPh sb="0" eb="2">
      <t>スイリョウ</t>
    </rPh>
    <phoneticPr fontId="5"/>
  </si>
  <si>
    <t>有収水量</t>
    <rPh sb="0" eb="1">
      <t>ユウ</t>
    </rPh>
    <rPh sb="1" eb="2">
      <t>シュウ</t>
    </rPh>
    <rPh sb="2" eb="4">
      <t>スイリョウ</t>
    </rPh>
    <phoneticPr fontId="5"/>
  </si>
  <si>
    <t>無収水量</t>
    <rPh sb="0" eb="1">
      <t>ム</t>
    </rPh>
    <rPh sb="1" eb="2">
      <t>シュウ</t>
    </rPh>
    <rPh sb="2" eb="4">
      <t>スイリョウ</t>
    </rPh>
    <phoneticPr fontId="5"/>
  </si>
  <si>
    <t>㎦</t>
    <phoneticPr fontId="5"/>
  </si>
  <si>
    <t>㎥</t>
    <phoneticPr fontId="5"/>
  </si>
  <si>
    <t>総㎥</t>
    <rPh sb="0" eb="1">
      <t>ソウ</t>
    </rPh>
    <phoneticPr fontId="5"/>
  </si>
  <si>
    <t>総ℓ</t>
    <rPh sb="0" eb="1">
      <t>ソウ</t>
    </rPh>
    <phoneticPr fontId="5"/>
  </si>
  <si>
    <t>令和元年度</t>
    <rPh sb="0" eb="2">
      <t>レイワ</t>
    </rPh>
    <rPh sb="3" eb="4">
      <t>ネン</t>
    </rPh>
    <rPh sb="4" eb="5">
      <t>ド</t>
    </rPh>
    <phoneticPr fontId="5"/>
  </si>
  <si>
    <t>大町市公営簡易水道事業配水量の推移</t>
    <rPh sb="0" eb="3">
      <t>オオマチシ</t>
    </rPh>
    <rPh sb="3" eb="5">
      <t>コウエイ</t>
    </rPh>
    <rPh sb="5" eb="7">
      <t>カンイ</t>
    </rPh>
    <rPh sb="7" eb="9">
      <t>スイドウ</t>
    </rPh>
    <rPh sb="9" eb="11">
      <t>ジギョウ</t>
    </rPh>
    <rPh sb="11" eb="13">
      <t>ハイスイ</t>
    </rPh>
    <rPh sb="13" eb="14">
      <t>リョウ</t>
    </rPh>
    <rPh sb="15" eb="17">
      <t>スイイ</t>
    </rPh>
    <phoneticPr fontId="5"/>
  </si>
  <si>
    <t>１日
最大
配水量</t>
    <rPh sb="1" eb="2">
      <t>ニチ</t>
    </rPh>
    <rPh sb="3" eb="5">
      <t>サイダイ</t>
    </rPh>
    <rPh sb="6" eb="8">
      <t>ハイスイ</t>
    </rPh>
    <rPh sb="8" eb="9">
      <t>リョウ</t>
    </rPh>
    <phoneticPr fontId="5"/>
  </si>
  <si>
    <t>1日1人
平均
配水量</t>
    <rPh sb="1" eb="2">
      <t>ニチ</t>
    </rPh>
    <rPh sb="3" eb="4">
      <t>ヒト</t>
    </rPh>
    <rPh sb="5" eb="7">
      <t>ヘイキン</t>
    </rPh>
    <rPh sb="8" eb="10">
      <t>ハイスイ</t>
    </rPh>
    <rPh sb="10" eb="11">
      <t>リョウ</t>
    </rPh>
    <phoneticPr fontId="5"/>
  </si>
  <si>
    <t>有効
（有収）
水量</t>
    <rPh sb="0" eb="2">
      <t>ユウコウ</t>
    </rPh>
    <rPh sb="4" eb="5">
      <t>ユウ</t>
    </rPh>
    <rPh sb="5" eb="6">
      <t>オサム</t>
    </rPh>
    <rPh sb="8" eb="10">
      <t>スイリョウ</t>
    </rPh>
    <phoneticPr fontId="5"/>
  </si>
  <si>
    <t>資料:上下水道課</t>
    <rPh sb="0" eb="2">
      <t>シリョウ</t>
    </rPh>
    <rPh sb="3" eb="5">
      <t>ジョウゲ</t>
    </rPh>
    <rPh sb="5" eb="7">
      <t>スイドウ</t>
    </rPh>
    <rPh sb="7" eb="8">
      <t>カ</t>
    </rPh>
    <phoneticPr fontId="5"/>
  </si>
  <si>
    <t>大町市水道事業用途別栓数と給水量</t>
    <rPh sb="7" eb="9">
      <t>ヨウト</t>
    </rPh>
    <rPh sb="9" eb="10">
      <t>ベツ</t>
    </rPh>
    <rPh sb="10" eb="11">
      <t>セン</t>
    </rPh>
    <rPh sb="11" eb="12">
      <t>スウ</t>
    </rPh>
    <rPh sb="13" eb="15">
      <t>キュウスイ</t>
    </rPh>
    <rPh sb="15" eb="16">
      <t>リョウ</t>
    </rPh>
    <phoneticPr fontId="5"/>
  </si>
  <si>
    <t>年度</t>
    <rPh sb="0" eb="1">
      <t>ネン</t>
    </rPh>
    <rPh sb="1" eb="2">
      <t>ド</t>
    </rPh>
    <phoneticPr fontId="5"/>
  </si>
  <si>
    <t>一般家庭用</t>
    <rPh sb="0" eb="2">
      <t>イッパン</t>
    </rPh>
    <rPh sb="2" eb="5">
      <t>カテイヨウ</t>
    </rPh>
    <phoneticPr fontId="5"/>
  </si>
  <si>
    <t>工場・病院用</t>
    <rPh sb="0" eb="2">
      <t>コウジョウ</t>
    </rPh>
    <rPh sb="3" eb="6">
      <t>ビョウインヨウ</t>
    </rPh>
    <phoneticPr fontId="5"/>
  </si>
  <si>
    <t>湯屋用</t>
    <rPh sb="0" eb="1">
      <t>ユ</t>
    </rPh>
    <rPh sb="1" eb="2">
      <t>ヤ</t>
    </rPh>
    <rPh sb="2" eb="3">
      <t>ヨウ</t>
    </rPh>
    <phoneticPr fontId="5"/>
  </si>
  <si>
    <t>栓　　数　</t>
    <rPh sb="0" eb="1">
      <t>セン</t>
    </rPh>
    <rPh sb="3" eb="4">
      <t>スウ</t>
    </rPh>
    <phoneticPr fontId="5"/>
  </si>
  <si>
    <t>年間給水量</t>
    <rPh sb="0" eb="2">
      <t>ネンカン</t>
    </rPh>
    <rPh sb="2" eb="4">
      <t>キュウスイ</t>
    </rPh>
    <rPh sb="4" eb="5">
      <t>リョウ</t>
    </rPh>
    <phoneticPr fontId="5"/>
  </si>
  <si>
    <t>栓　　数</t>
    <rPh sb="0" eb="1">
      <t>セン</t>
    </rPh>
    <rPh sb="3" eb="4">
      <t>スウ</t>
    </rPh>
    <phoneticPr fontId="5"/>
  </si>
  <si>
    <t>栓</t>
    <rPh sb="0" eb="1">
      <t>セン</t>
    </rPh>
    <phoneticPr fontId="5"/>
  </si>
  <si>
    <t>㎦</t>
  </si>
  <si>
    <t>大町市水道事業水源施設状況</t>
    <rPh sb="0" eb="3">
      <t>オオマチシ</t>
    </rPh>
    <rPh sb="3" eb="5">
      <t>スイドウ</t>
    </rPh>
    <rPh sb="5" eb="7">
      <t>ジギョウ</t>
    </rPh>
    <rPh sb="7" eb="9">
      <t>スイゲン</t>
    </rPh>
    <rPh sb="9" eb="11">
      <t>シセツ</t>
    </rPh>
    <rPh sb="11" eb="13">
      <t>ジョウキョウ</t>
    </rPh>
    <phoneticPr fontId="5"/>
  </si>
  <si>
    <t>（令和5年度末）</t>
    <rPh sb="1" eb="3">
      <t>レイワ</t>
    </rPh>
    <rPh sb="4" eb="5">
      <t>ネン</t>
    </rPh>
    <rPh sb="5" eb="6">
      <t>ド</t>
    </rPh>
    <rPh sb="6" eb="7">
      <t>マツ</t>
    </rPh>
    <phoneticPr fontId="5"/>
  </si>
  <si>
    <t>水　源　名</t>
    <rPh sb="0" eb="1">
      <t>スイ</t>
    </rPh>
    <rPh sb="2" eb="3">
      <t>ゲン</t>
    </rPh>
    <rPh sb="4" eb="5">
      <t>メイ</t>
    </rPh>
    <phoneticPr fontId="5"/>
  </si>
  <si>
    <t>配　　　水　　　池</t>
    <rPh sb="0" eb="1">
      <t>クバ</t>
    </rPh>
    <rPh sb="4" eb="5">
      <t>スイ</t>
    </rPh>
    <rPh sb="8" eb="9">
      <t>イケ</t>
    </rPh>
    <phoneticPr fontId="5"/>
  </si>
  <si>
    <t>源水の種別</t>
    <rPh sb="0" eb="2">
      <t>ゲンスイ</t>
    </rPh>
    <rPh sb="3" eb="5">
      <t>シュベツ</t>
    </rPh>
    <phoneticPr fontId="5"/>
  </si>
  <si>
    <t>計画取水量　㎥/日</t>
    <rPh sb="0" eb="2">
      <t>ケイカク</t>
    </rPh>
    <rPh sb="2" eb="4">
      <t>シュスイ</t>
    </rPh>
    <rPh sb="4" eb="5">
      <t>リョウ</t>
    </rPh>
    <rPh sb="8" eb="9">
      <t>ヒ</t>
    </rPh>
    <phoneticPr fontId="5"/>
  </si>
  <si>
    <t>上 白 沢</t>
    <rPh sb="0" eb="1">
      <t>ウエ</t>
    </rPh>
    <rPh sb="2" eb="3">
      <t>シロ</t>
    </rPh>
    <rPh sb="4" eb="5">
      <t>サワ</t>
    </rPh>
    <phoneticPr fontId="5"/>
  </si>
  <si>
    <t>第2</t>
    <rPh sb="0" eb="1">
      <t>ダイ</t>
    </rPh>
    <phoneticPr fontId="5"/>
  </si>
  <si>
    <t>湧  水</t>
    <rPh sb="0" eb="1">
      <t>ワ</t>
    </rPh>
    <rPh sb="3" eb="4">
      <t>ミズ</t>
    </rPh>
    <phoneticPr fontId="5"/>
  </si>
  <si>
    <t>矢　　沢</t>
    <rPh sb="0" eb="1">
      <t>ヤ</t>
    </rPh>
    <rPh sb="3" eb="4">
      <t>サワ</t>
    </rPh>
    <phoneticPr fontId="5"/>
  </si>
  <si>
    <t>源汲、犬の窪、猫塚、第1、第3、稲尾　　　　　常盤高区、常盤中区、常盤低区</t>
    <rPh sb="0" eb="1">
      <t>ゲン</t>
    </rPh>
    <rPh sb="1" eb="2">
      <t>ク</t>
    </rPh>
    <rPh sb="3" eb="4">
      <t>イヌ</t>
    </rPh>
    <rPh sb="5" eb="6">
      <t>クボ</t>
    </rPh>
    <rPh sb="7" eb="9">
      <t>ネコツカ</t>
    </rPh>
    <rPh sb="10" eb="11">
      <t>ダイ</t>
    </rPh>
    <rPh sb="13" eb="14">
      <t>ダイ</t>
    </rPh>
    <rPh sb="16" eb="18">
      <t>イナオ</t>
    </rPh>
    <rPh sb="23" eb="25">
      <t>トキワ</t>
    </rPh>
    <rPh sb="25" eb="26">
      <t>タカ</t>
    </rPh>
    <rPh sb="26" eb="27">
      <t>ク</t>
    </rPh>
    <rPh sb="28" eb="30">
      <t>トキワ</t>
    </rPh>
    <rPh sb="30" eb="31">
      <t>ナカ</t>
    </rPh>
    <rPh sb="31" eb="32">
      <t>ク</t>
    </rPh>
    <rPh sb="33" eb="35">
      <t>トキワ</t>
    </rPh>
    <rPh sb="35" eb="36">
      <t>テイ</t>
    </rPh>
    <rPh sb="36" eb="37">
      <t>ク</t>
    </rPh>
    <phoneticPr fontId="5"/>
  </si>
  <si>
    <t>居 谷 里</t>
    <rPh sb="0" eb="1">
      <t>イ</t>
    </rPh>
    <rPh sb="2" eb="3">
      <t>タニ</t>
    </rPh>
    <rPh sb="4" eb="5">
      <t>サト</t>
    </rPh>
    <phoneticPr fontId="5"/>
  </si>
  <si>
    <t>三日町、松崎、曽根原、宮本</t>
    <rPh sb="0" eb="3">
      <t>ミッカマチ</t>
    </rPh>
    <rPh sb="4" eb="6">
      <t>マツザキ</t>
    </rPh>
    <rPh sb="7" eb="10">
      <t>ソネハラ</t>
    </rPh>
    <rPh sb="11" eb="13">
      <t>ミヤモト</t>
    </rPh>
    <phoneticPr fontId="5"/>
  </si>
  <si>
    <t>白　　沢</t>
    <rPh sb="0" eb="1">
      <t>シロ</t>
    </rPh>
    <rPh sb="3" eb="4">
      <t>サワ</t>
    </rPh>
    <phoneticPr fontId="5"/>
  </si>
  <si>
    <t>白沢高区、白沢低区</t>
    <rPh sb="0" eb="2">
      <t>シラサワ</t>
    </rPh>
    <rPh sb="2" eb="3">
      <t>コウ</t>
    </rPh>
    <rPh sb="3" eb="4">
      <t>ク</t>
    </rPh>
    <rPh sb="5" eb="7">
      <t>シラサワ</t>
    </rPh>
    <rPh sb="7" eb="8">
      <t>テイ</t>
    </rPh>
    <rPh sb="8" eb="9">
      <t>ク</t>
    </rPh>
    <phoneticPr fontId="5"/>
  </si>
  <si>
    <t>崩　　沢</t>
    <rPh sb="0" eb="1">
      <t>クズ</t>
    </rPh>
    <rPh sb="3" eb="4">
      <t>サワ</t>
    </rPh>
    <phoneticPr fontId="5"/>
  </si>
  <si>
    <t>崩沢</t>
    <rPh sb="0" eb="1">
      <t>クズ</t>
    </rPh>
    <rPh sb="1" eb="2">
      <t>サワ</t>
    </rPh>
    <phoneticPr fontId="5"/>
  </si>
  <si>
    <t>廃止（予定）</t>
    <phoneticPr fontId="5"/>
  </si>
  <si>
    <t>南　　平</t>
    <rPh sb="0" eb="1">
      <t>ミナミ</t>
    </rPh>
    <rPh sb="3" eb="4">
      <t>タイラ</t>
    </rPh>
    <phoneticPr fontId="5"/>
  </si>
  <si>
    <t>南平</t>
    <rPh sb="0" eb="2">
      <t>ミナミタイラ</t>
    </rPh>
    <phoneticPr fontId="5"/>
  </si>
  <si>
    <t>予備水源（予定）</t>
    <phoneticPr fontId="5"/>
  </si>
  <si>
    <t>大町市公営簡易水道事業水源施設状況</t>
    <rPh sb="0" eb="3">
      <t>オオマチシ</t>
    </rPh>
    <rPh sb="3" eb="5">
      <t>コウエイ</t>
    </rPh>
    <rPh sb="5" eb="7">
      <t>カンイ</t>
    </rPh>
    <rPh sb="7" eb="9">
      <t>スイドウ</t>
    </rPh>
    <rPh sb="9" eb="11">
      <t>ジギョウ</t>
    </rPh>
    <rPh sb="11" eb="13">
      <t>スイゲン</t>
    </rPh>
    <rPh sb="13" eb="15">
      <t>シセツ</t>
    </rPh>
    <rPh sb="15" eb="17">
      <t>ジョウキョウ</t>
    </rPh>
    <phoneticPr fontId="5"/>
  </si>
  <si>
    <t>配　　　水　　　地</t>
    <rPh sb="0" eb="1">
      <t>クバ</t>
    </rPh>
    <rPh sb="4" eb="5">
      <t>スイ</t>
    </rPh>
    <rPh sb="8" eb="9">
      <t>チ</t>
    </rPh>
    <phoneticPr fontId="5"/>
  </si>
  <si>
    <t>取水能力　㎥/日</t>
    <rPh sb="0" eb="2">
      <t>シュスイ</t>
    </rPh>
    <rPh sb="2" eb="4">
      <t>ノウリョク</t>
    </rPh>
    <rPh sb="7" eb="8">
      <t>ヒ</t>
    </rPh>
    <phoneticPr fontId="5"/>
  </si>
  <si>
    <t>宮の尾第１</t>
    <rPh sb="0" eb="1">
      <t>ミヤ</t>
    </rPh>
    <rPh sb="2" eb="3">
      <t>オ</t>
    </rPh>
    <rPh sb="3" eb="4">
      <t>ダイ</t>
    </rPh>
    <phoneticPr fontId="5"/>
  </si>
  <si>
    <t>　　鷹狩山、切久保、学校上第１、
　　学校上第２、明野、相川、
　　一の瀬、笹尾</t>
    <rPh sb="2" eb="4">
      <t>タカガリ</t>
    </rPh>
    <rPh sb="4" eb="5">
      <t>ヤマ</t>
    </rPh>
    <rPh sb="6" eb="7">
      <t>キリ</t>
    </rPh>
    <rPh sb="7" eb="9">
      <t>クボ</t>
    </rPh>
    <rPh sb="10" eb="12">
      <t>ガッコウ</t>
    </rPh>
    <rPh sb="12" eb="13">
      <t>ウエ</t>
    </rPh>
    <rPh sb="13" eb="14">
      <t>ダイ</t>
    </rPh>
    <rPh sb="19" eb="21">
      <t>ガッコウ</t>
    </rPh>
    <rPh sb="21" eb="22">
      <t>ウエ</t>
    </rPh>
    <rPh sb="22" eb="23">
      <t>ダイ</t>
    </rPh>
    <rPh sb="25" eb="27">
      <t>アケノ</t>
    </rPh>
    <rPh sb="28" eb="29">
      <t>アイ</t>
    </rPh>
    <rPh sb="29" eb="30">
      <t>ガワ</t>
    </rPh>
    <rPh sb="34" eb="35">
      <t>イチ</t>
    </rPh>
    <rPh sb="36" eb="37">
      <t>セ</t>
    </rPh>
    <rPh sb="38" eb="40">
      <t>ササオ</t>
    </rPh>
    <phoneticPr fontId="5"/>
  </si>
  <si>
    <t>湧　水</t>
    <rPh sb="0" eb="1">
      <t>ユウ</t>
    </rPh>
    <rPh sb="2" eb="3">
      <t>ミズ</t>
    </rPh>
    <phoneticPr fontId="5"/>
  </si>
  <si>
    <t>宮の尾第２</t>
    <rPh sb="0" eb="1">
      <t>ミヤ</t>
    </rPh>
    <rPh sb="2" eb="3">
      <t>オ</t>
    </rPh>
    <rPh sb="3" eb="4">
      <t>ダイ</t>
    </rPh>
    <phoneticPr fontId="5"/>
  </si>
  <si>
    <t>宮の尾第３</t>
    <rPh sb="0" eb="1">
      <t>ミヤ</t>
    </rPh>
    <rPh sb="2" eb="3">
      <t>オ</t>
    </rPh>
    <rPh sb="3" eb="4">
      <t>ダイ</t>
    </rPh>
    <phoneticPr fontId="5"/>
  </si>
  <si>
    <t>宮の尾中央</t>
    <rPh sb="3" eb="4">
      <t>ナカ</t>
    </rPh>
    <rPh sb="4" eb="5">
      <t>ヒサシ</t>
    </rPh>
    <phoneticPr fontId="5"/>
  </si>
  <si>
    <t>土　　林</t>
    <rPh sb="0" eb="1">
      <t>ツチ</t>
    </rPh>
    <rPh sb="3" eb="4">
      <t>バヤシ</t>
    </rPh>
    <phoneticPr fontId="5"/>
  </si>
  <si>
    <t>藤　　尾</t>
    <rPh sb="0" eb="1">
      <t>フジ</t>
    </rPh>
    <rPh sb="3" eb="4">
      <t>オ</t>
    </rPh>
    <phoneticPr fontId="5"/>
  </si>
  <si>
    <t>菖蒲、竹篭、菅の窪、ニ滝</t>
    <rPh sb="0" eb="2">
      <t>ショウブ</t>
    </rPh>
    <rPh sb="3" eb="4">
      <t>タケ</t>
    </rPh>
    <rPh sb="4" eb="5">
      <t>カゴ</t>
    </rPh>
    <rPh sb="6" eb="7">
      <t>スゲ</t>
    </rPh>
    <rPh sb="8" eb="9">
      <t>クボ</t>
    </rPh>
    <rPh sb="11" eb="12">
      <t>タキ</t>
    </rPh>
    <phoneticPr fontId="5"/>
  </si>
  <si>
    <t>東部第１</t>
    <rPh sb="0" eb="2">
      <t>トウブ</t>
    </rPh>
    <rPh sb="2" eb="3">
      <t>ダイ</t>
    </rPh>
    <phoneticPr fontId="5"/>
  </si>
  <si>
    <t>　　布川、地志原、舟場高区、
　　舟場低区、栃沢　　</t>
    <rPh sb="2" eb="3">
      <t>ヌノ</t>
    </rPh>
    <rPh sb="3" eb="4">
      <t>カワ</t>
    </rPh>
    <rPh sb="5" eb="6">
      <t>チ</t>
    </rPh>
    <rPh sb="6" eb="7">
      <t>ココロザシ</t>
    </rPh>
    <rPh sb="7" eb="8">
      <t>ハラ</t>
    </rPh>
    <rPh sb="9" eb="10">
      <t>フネ</t>
    </rPh>
    <rPh sb="10" eb="11">
      <t>バ</t>
    </rPh>
    <rPh sb="11" eb="13">
      <t>コウク</t>
    </rPh>
    <rPh sb="17" eb="18">
      <t>フネ</t>
    </rPh>
    <rPh sb="18" eb="19">
      <t>バ</t>
    </rPh>
    <rPh sb="19" eb="21">
      <t>テイク</t>
    </rPh>
    <rPh sb="22" eb="23">
      <t>トチ</t>
    </rPh>
    <rPh sb="23" eb="24">
      <t>サワ</t>
    </rPh>
    <phoneticPr fontId="5"/>
  </si>
  <si>
    <t>東部第２</t>
    <rPh sb="0" eb="2">
      <t>トウブ</t>
    </rPh>
    <rPh sb="2" eb="3">
      <t>ダイ</t>
    </rPh>
    <phoneticPr fontId="5"/>
  </si>
  <si>
    <t>曽　　山</t>
    <rPh sb="0" eb="1">
      <t>ソ</t>
    </rPh>
    <rPh sb="3" eb="4">
      <t>ヤマ</t>
    </rPh>
    <phoneticPr fontId="5"/>
  </si>
  <si>
    <t>曽山</t>
    <rPh sb="0" eb="2">
      <t>ソヤマ</t>
    </rPh>
    <phoneticPr fontId="5"/>
  </si>
  <si>
    <t>大　　塩</t>
    <rPh sb="0" eb="1">
      <t>ダイ</t>
    </rPh>
    <rPh sb="3" eb="4">
      <t>シオ</t>
    </rPh>
    <phoneticPr fontId="5"/>
  </si>
  <si>
    <t>大塩</t>
    <rPh sb="0" eb="2">
      <t>オオシオ</t>
    </rPh>
    <phoneticPr fontId="5"/>
  </si>
  <si>
    <t>深井戸水</t>
    <rPh sb="0" eb="3">
      <t>フカイド</t>
    </rPh>
    <rPh sb="3" eb="4">
      <t>ミズ</t>
    </rPh>
    <phoneticPr fontId="5"/>
  </si>
  <si>
    <t>二　　重</t>
    <rPh sb="0" eb="1">
      <t>ニ</t>
    </rPh>
    <rPh sb="3" eb="4">
      <t>ジュウ</t>
    </rPh>
    <phoneticPr fontId="5"/>
  </si>
  <si>
    <t>二重低区、二重高区、湯の海</t>
    <rPh sb="0" eb="2">
      <t>フタエ</t>
    </rPh>
    <rPh sb="2" eb="4">
      <t>テイク</t>
    </rPh>
    <rPh sb="5" eb="7">
      <t>フタエ</t>
    </rPh>
    <rPh sb="7" eb="8">
      <t>コウ</t>
    </rPh>
    <rPh sb="8" eb="9">
      <t>ク</t>
    </rPh>
    <rPh sb="10" eb="11">
      <t>ユ</t>
    </rPh>
    <rPh sb="12" eb="13">
      <t>カイ</t>
    </rPh>
    <phoneticPr fontId="5"/>
  </si>
  <si>
    <t>新行第１</t>
    <rPh sb="0" eb="1">
      <t>シン</t>
    </rPh>
    <rPh sb="1" eb="2">
      <t>ギョウ</t>
    </rPh>
    <rPh sb="2" eb="3">
      <t>ダイ</t>
    </rPh>
    <phoneticPr fontId="5"/>
  </si>
  <si>
    <t>　　新行</t>
    <rPh sb="2" eb="3">
      <t>シン</t>
    </rPh>
    <rPh sb="3" eb="4">
      <t>ギョウ</t>
    </rPh>
    <phoneticPr fontId="5"/>
  </si>
  <si>
    <t>湧水</t>
    <rPh sb="0" eb="2">
      <t>ユウスイ</t>
    </rPh>
    <phoneticPr fontId="5"/>
  </si>
  <si>
    <t>新行第２</t>
    <rPh sb="0" eb="1">
      <t>シン</t>
    </rPh>
    <rPh sb="1" eb="2">
      <t>ギョウ</t>
    </rPh>
    <rPh sb="2" eb="3">
      <t>ダイ</t>
    </rPh>
    <phoneticPr fontId="5"/>
  </si>
  <si>
    <t>新行第３</t>
    <rPh sb="0" eb="1">
      <t>シン</t>
    </rPh>
    <rPh sb="1" eb="2">
      <t>ギョウ</t>
    </rPh>
    <rPh sb="2" eb="3">
      <t>ダイ</t>
    </rPh>
    <phoneticPr fontId="5"/>
  </si>
  <si>
    <t>浅井戸水</t>
    <rPh sb="0" eb="1">
      <t>アサ</t>
    </rPh>
    <rPh sb="1" eb="4">
      <t>イドミズ</t>
    </rPh>
    <rPh sb="3" eb="4">
      <t>ミズ</t>
    </rPh>
    <phoneticPr fontId="5"/>
  </si>
  <si>
    <t>青具第１</t>
    <rPh sb="0" eb="2">
      <t>アオグ</t>
    </rPh>
    <rPh sb="2" eb="3">
      <t>ダイ</t>
    </rPh>
    <phoneticPr fontId="5"/>
  </si>
  <si>
    <t>　　青具</t>
    <rPh sb="2" eb="4">
      <t>アオグ</t>
    </rPh>
    <phoneticPr fontId="5"/>
  </si>
  <si>
    <t>青具第２</t>
    <rPh sb="0" eb="2">
      <t>アオグ</t>
    </rPh>
    <rPh sb="2" eb="3">
      <t>ダイ</t>
    </rPh>
    <phoneticPr fontId="5"/>
  </si>
  <si>
    <t>魚 の 京</t>
    <rPh sb="0" eb="1">
      <t>ウオ</t>
    </rPh>
    <rPh sb="4" eb="5">
      <t>キョウ</t>
    </rPh>
    <phoneticPr fontId="5"/>
  </si>
  <si>
    <t>藤、花尾、三百地、中の崎</t>
  </si>
  <si>
    <t>予備水源</t>
    <phoneticPr fontId="5"/>
  </si>
  <si>
    <t>産 屋 沢</t>
    <rPh sb="0" eb="1">
      <t>サン</t>
    </rPh>
    <rPh sb="2" eb="3">
      <t>ヤ</t>
    </rPh>
    <rPh sb="4" eb="5">
      <t>サワ</t>
    </rPh>
    <phoneticPr fontId="5"/>
  </si>
  <si>
    <t>石原、峠</t>
    <rPh sb="0" eb="2">
      <t>イシハラ</t>
    </rPh>
    <rPh sb="3" eb="4">
      <t>トウゲ</t>
    </rPh>
    <phoneticPr fontId="5"/>
  </si>
  <si>
    <t>都市ガスの需要状況</t>
    <rPh sb="0" eb="2">
      <t>トシ</t>
    </rPh>
    <rPh sb="5" eb="7">
      <t>ジュヨウ</t>
    </rPh>
    <rPh sb="7" eb="9">
      <t>ジョウキョウ</t>
    </rPh>
    <phoneticPr fontId="5"/>
  </si>
  <si>
    <t>製造量</t>
    <rPh sb="0" eb="2">
      <t>セイゾウ</t>
    </rPh>
    <rPh sb="2" eb="3">
      <t>リョウ</t>
    </rPh>
    <phoneticPr fontId="5"/>
  </si>
  <si>
    <t>供給戸数</t>
    <rPh sb="0" eb="2">
      <t>キョウキュウ</t>
    </rPh>
    <rPh sb="2" eb="3">
      <t>ト</t>
    </rPh>
    <rPh sb="3" eb="4">
      <t>スウ</t>
    </rPh>
    <phoneticPr fontId="5"/>
  </si>
  <si>
    <t>使      　　用　　      量</t>
    <rPh sb="0" eb="1">
      <t>ツカ</t>
    </rPh>
    <rPh sb="9" eb="10">
      <t>ヨウ</t>
    </rPh>
    <rPh sb="18" eb="19">
      <t>リョウ</t>
    </rPh>
    <phoneticPr fontId="5"/>
  </si>
  <si>
    <t>総　量</t>
    <rPh sb="0" eb="3">
      <t>ソウリョウ</t>
    </rPh>
    <phoneticPr fontId="5"/>
  </si>
  <si>
    <t>家庭用</t>
    <rPh sb="0" eb="3">
      <t>カテイヨウ</t>
    </rPh>
    <phoneticPr fontId="5"/>
  </si>
  <si>
    <t>商業用</t>
    <rPh sb="0" eb="3">
      <t>ショウギョウヨウ</t>
    </rPh>
    <phoneticPr fontId="5"/>
  </si>
  <si>
    <t>戸</t>
    <rPh sb="0" eb="1">
      <t>ト</t>
    </rPh>
    <phoneticPr fontId="5"/>
  </si>
  <si>
    <t>資料：大町ガス株式会社</t>
    <rPh sb="0" eb="2">
      <t>シリョウ</t>
    </rPh>
    <rPh sb="3" eb="5">
      <t>オオマチ</t>
    </rPh>
    <rPh sb="7" eb="11">
      <t>カブシキガイシャ</t>
    </rPh>
    <phoneticPr fontId="5"/>
  </si>
  <si>
    <t>消費者物価指数《年平均》</t>
    <rPh sb="0" eb="3">
      <t>ショウヒシャ</t>
    </rPh>
    <rPh sb="3" eb="5">
      <t>ブッカ</t>
    </rPh>
    <rPh sb="5" eb="7">
      <t>シスウ</t>
    </rPh>
    <rPh sb="8" eb="11">
      <t>ネンヘイキン</t>
    </rPh>
    <rPh sb="9" eb="11">
      <t>ヘイキン</t>
    </rPh>
    <phoneticPr fontId="5"/>
  </si>
  <si>
    <t>市別</t>
    <rPh sb="0" eb="1">
      <t>シ</t>
    </rPh>
    <rPh sb="1" eb="2">
      <t>ベツ</t>
    </rPh>
    <phoneticPr fontId="5"/>
  </si>
  <si>
    <t>総合</t>
    <rPh sb="0" eb="1">
      <t>フサ</t>
    </rPh>
    <rPh sb="1" eb="2">
      <t>ゴウ</t>
    </rPh>
    <phoneticPr fontId="5"/>
  </si>
  <si>
    <t>食料</t>
    <rPh sb="0" eb="1">
      <t>ショク</t>
    </rPh>
    <rPh sb="1" eb="2">
      <t>リョウ</t>
    </rPh>
    <phoneticPr fontId="5"/>
  </si>
  <si>
    <t>住居</t>
    <rPh sb="0" eb="1">
      <t>ジュウ</t>
    </rPh>
    <rPh sb="1" eb="2">
      <t>イ</t>
    </rPh>
    <phoneticPr fontId="5"/>
  </si>
  <si>
    <t>光熱・水道</t>
    <rPh sb="0" eb="2">
      <t>コウネツ</t>
    </rPh>
    <rPh sb="3" eb="5">
      <t>スイドウ</t>
    </rPh>
    <phoneticPr fontId="5"/>
  </si>
  <si>
    <t>家  具
・
家事用品</t>
    <rPh sb="0" eb="1">
      <t>イエ</t>
    </rPh>
    <rPh sb="3" eb="4">
      <t>グ</t>
    </rPh>
    <rPh sb="7" eb="9">
      <t>カジ</t>
    </rPh>
    <rPh sb="9" eb="11">
      <t>ヨウヒン</t>
    </rPh>
    <phoneticPr fontId="5"/>
  </si>
  <si>
    <t>被服及び履物</t>
    <rPh sb="0" eb="2">
      <t>ヒフク</t>
    </rPh>
    <rPh sb="2" eb="3">
      <t>オヨ</t>
    </rPh>
    <rPh sb="4" eb="6">
      <t>ハキモノ</t>
    </rPh>
    <phoneticPr fontId="5"/>
  </si>
  <si>
    <t>保健医療</t>
    <rPh sb="0" eb="2">
      <t>ホケン</t>
    </rPh>
    <rPh sb="2" eb="4">
      <t>イリョウ</t>
    </rPh>
    <phoneticPr fontId="5"/>
  </si>
  <si>
    <t>交通・通信</t>
    <rPh sb="0" eb="2">
      <t>コウツウ</t>
    </rPh>
    <rPh sb="3" eb="5">
      <t>ツウシン</t>
    </rPh>
    <phoneticPr fontId="5"/>
  </si>
  <si>
    <t>教育</t>
    <rPh sb="0" eb="1">
      <t>キョウ</t>
    </rPh>
    <rPh sb="1" eb="2">
      <t>イク</t>
    </rPh>
    <phoneticPr fontId="5"/>
  </si>
  <si>
    <t>教養娯楽</t>
    <rPh sb="0" eb="2">
      <t>キョウヨウ</t>
    </rPh>
    <rPh sb="2" eb="4">
      <t>ゴラク</t>
    </rPh>
    <phoneticPr fontId="5"/>
  </si>
  <si>
    <t>諸雑費</t>
    <rPh sb="0" eb="1">
      <t>ショ</t>
    </rPh>
    <rPh sb="1" eb="2">
      <t>ザツ</t>
    </rPh>
    <rPh sb="2" eb="3">
      <t>ヒ</t>
    </rPh>
    <phoneticPr fontId="5"/>
  </si>
  <si>
    <t>長 野 市</t>
    <rPh sb="0" eb="1">
      <t>チョウ</t>
    </rPh>
    <rPh sb="2" eb="3">
      <t>ノ</t>
    </rPh>
    <rPh sb="4" eb="5">
      <t>シ</t>
    </rPh>
    <phoneticPr fontId="5"/>
  </si>
  <si>
    <t>全  　国</t>
    <rPh sb="0" eb="1">
      <t>ゼン</t>
    </rPh>
    <rPh sb="4" eb="5">
      <t>クニ</t>
    </rPh>
    <phoneticPr fontId="5"/>
  </si>
  <si>
    <t>資料：県情報統計課　　令和２年：平成27年基準＝100、令和３年以降：令和２年基準＝100</t>
    <rPh sb="0" eb="2">
      <t>シリョウ</t>
    </rPh>
    <rPh sb="3" eb="4">
      <t>ケン</t>
    </rPh>
    <rPh sb="4" eb="6">
      <t>ジョウホウ</t>
    </rPh>
    <rPh sb="6" eb="8">
      <t>トウケイ</t>
    </rPh>
    <rPh sb="8" eb="9">
      <t>カ</t>
    </rPh>
    <rPh sb="11" eb="13">
      <t>レイワ</t>
    </rPh>
    <rPh sb="14" eb="15">
      <t>ネン</t>
    </rPh>
    <rPh sb="16" eb="18">
      <t>ヘイセイ</t>
    </rPh>
    <rPh sb="20" eb="21">
      <t>ネン</t>
    </rPh>
    <rPh sb="21" eb="23">
      <t>キジュン</t>
    </rPh>
    <rPh sb="28" eb="30">
      <t>レイワ</t>
    </rPh>
    <rPh sb="31" eb="32">
      <t>ネン</t>
    </rPh>
    <rPh sb="32" eb="34">
      <t>イコウ</t>
    </rPh>
    <rPh sb="35" eb="37">
      <t>レイワ</t>
    </rPh>
    <rPh sb="38" eb="39">
      <t>ネン</t>
    </rPh>
    <rPh sb="39" eb="41">
      <t>キジュン</t>
    </rPh>
    <phoneticPr fontId="5"/>
  </si>
  <si>
    <t>制度資金の利用状況</t>
    <rPh sb="0" eb="2">
      <t>セイド</t>
    </rPh>
    <rPh sb="2" eb="4">
      <t>シキン</t>
    </rPh>
    <rPh sb="5" eb="7">
      <t>リヨウ</t>
    </rPh>
    <rPh sb="7" eb="9">
      <t>ジョウキョウ</t>
    </rPh>
    <phoneticPr fontId="5"/>
  </si>
  <si>
    <t>事　　項</t>
    <rPh sb="0" eb="4">
      <t>ジコウ</t>
    </rPh>
    <phoneticPr fontId="5"/>
  </si>
  <si>
    <t>申込
件数</t>
    <rPh sb="0" eb="2">
      <t>モウシコミ</t>
    </rPh>
    <rPh sb="3" eb="5">
      <t>ケンスウ</t>
    </rPh>
    <phoneticPr fontId="5"/>
  </si>
  <si>
    <t>申込
金額</t>
    <rPh sb="0" eb="2">
      <t>モウシコミ</t>
    </rPh>
    <rPh sb="3" eb="5">
      <t>キンガク</t>
    </rPh>
    <phoneticPr fontId="5"/>
  </si>
  <si>
    <t>融資
金額</t>
    <rPh sb="0" eb="2">
      <t>ユウシ</t>
    </rPh>
    <rPh sb="3" eb="5">
      <t>キンガク</t>
    </rPh>
    <phoneticPr fontId="5"/>
  </si>
  <si>
    <t>県中小企業制度資金</t>
    <rPh sb="0" eb="1">
      <t>ケン</t>
    </rPh>
    <rPh sb="1" eb="3">
      <t>チュウショウ</t>
    </rPh>
    <rPh sb="3" eb="5">
      <t>キギョウ</t>
    </rPh>
    <rPh sb="5" eb="7">
      <t>セイド</t>
    </rPh>
    <rPh sb="7" eb="9">
      <t>シキン</t>
    </rPh>
    <phoneticPr fontId="5"/>
  </si>
  <si>
    <t>市中小企業制度資金</t>
    <rPh sb="0" eb="1">
      <t>シ</t>
    </rPh>
    <rPh sb="1" eb="3">
      <t>チュウショウ</t>
    </rPh>
    <rPh sb="3" eb="5">
      <t>キギョウ</t>
    </rPh>
    <rPh sb="5" eb="7">
      <t>セイド</t>
    </rPh>
    <rPh sb="7" eb="9">
      <t>シキン</t>
    </rPh>
    <phoneticPr fontId="5"/>
  </si>
  <si>
    <t>資料：北アルプス地域振興局、まちづくり産業課</t>
    <rPh sb="0" eb="2">
      <t>シリョウ</t>
    </rPh>
    <rPh sb="3" eb="4">
      <t>キタ</t>
    </rPh>
    <rPh sb="8" eb="10">
      <t>チイキ</t>
    </rPh>
    <rPh sb="10" eb="12">
      <t>シンコウ</t>
    </rPh>
    <rPh sb="12" eb="13">
      <t>キョク</t>
    </rPh>
    <rPh sb="19" eb="22">
      <t>サンギョウカ</t>
    </rPh>
    <phoneticPr fontId="5"/>
  </si>
  <si>
    <t>救急出動及び搬送状況</t>
    <rPh sb="0" eb="2">
      <t>キュウキュウ</t>
    </rPh>
    <rPh sb="2" eb="4">
      <t>シュツドウ</t>
    </rPh>
    <rPh sb="4" eb="5">
      <t>オヨ</t>
    </rPh>
    <rPh sb="6" eb="8">
      <t>ハンソウ</t>
    </rPh>
    <rPh sb="8" eb="10">
      <t>ジョウキョウ</t>
    </rPh>
    <phoneticPr fontId="5"/>
  </si>
  <si>
    <t>出　動　件　数</t>
    <rPh sb="0" eb="3">
      <t>シュツドウ</t>
    </rPh>
    <rPh sb="4" eb="7">
      <t>ケンスウ</t>
    </rPh>
    <phoneticPr fontId="5"/>
  </si>
  <si>
    <t>搬送人員</t>
    <rPh sb="0" eb="2">
      <t>ハンソウ</t>
    </rPh>
    <rPh sb="2" eb="3">
      <t>ヒト</t>
    </rPh>
    <rPh sb="3" eb="4">
      <t>イン</t>
    </rPh>
    <phoneticPr fontId="5"/>
  </si>
  <si>
    <t>交通</t>
    <rPh sb="0" eb="2">
      <t>コウツウ</t>
    </rPh>
    <phoneticPr fontId="5"/>
  </si>
  <si>
    <t>急病</t>
    <rPh sb="0" eb="2">
      <t>キュウビョウ</t>
    </rPh>
    <phoneticPr fontId="5"/>
  </si>
  <si>
    <t>運動
競技</t>
    <rPh sb="0" eb="2">
      <t>ウンドウ</t>
    </rPh>
    <rPh sb="3" eb="5">
      <t>キョウギ</t>
    </rPh>
    <phoneticPr fontId="5"/>
  </si>
  <si>
    <t>一般
負傷</t>
    <rPh sb="0" eb="2">
      <t>イッパン</t>
    </rPh>
    <rPh sb="3" eb="5">
      <t>フショウ</t>
    </rPh>
    <phoneticPr fontId="5"/>
  </si>
  <si>
    <t>労働
災害</t>
    <rPh sb="0" eb="2">
      <t>ロウドウ</t>
    </rPh>
    <rPh sb="3" eb="5">
      <t>サイガイ</t>
    </rPh>
    <phoneticPr fontId="5"/>
  </si>
  <si>
    <t>自損
行為</t>
    <rPh sb="0" eb="1">
      <t>ジソン</t>
    </rPh>
    <rPh sb="1" eb="2">
      <t>ソン</t>
    </rPh>
    <rPh sb="3" eb="5">
      <t>コウイ</t>
    </rPh>
    <phoneticPr fontId="5"/>
  </si>
  <si>
    <t>水難
火災</t>
    <rPh sb="0" eb="1">
      <t>ミズ</t>
    </rPh>
    <rPh sb="1" eb="2">
      <t>ナン</t>
    </rPh>
    <rPh sb="3" eb="5">
      <t>カサイ</t>
    </rPh>
    <phoneticPr fontId="5"/>
  </si>
  <si>
    <t>加害</t>
    <rPh sb="0" eb="2">
      <t>カガイ</t>
    </rPh>
    <phoneticPr fontId="5"/>
  </si>
  <si>
    <t>転院・
その他</t>
    <rPh sb="0" eb="2">
      <t>テンイン</t>
    </rPh>
    <rPh sb="6" eb="7">
      <t>タ</t>
    </rPh>
    <phoneticPr fontId="5"/>
  </si>
  <si>
    <t>資料：北アルプス広域消防本部　注）数値は、大町消防署・北部消防署・南部消防署の合算数値である。</t>
    <rPh sb="0" eb="2">
      <t>シリョウ</t>
    </rPh>
    <rPh sb="3" eb="4">
      <t>キタ</t>
    </rPh>
    <rPh sb="8" eb="10">
      <t>コウイキ</t>
    </rPh>
    <rPh sb="10" eb="12">
      <t>ショウボウ</t>
    </rPh>
    <rPh sb="12" eb="14">
      <t>ホンブ</t>
    </rPh>
    <rPh sb="15" eb="16">
      <t>チュウ</t>
    </rPh>
    <rPh sb="17" eb="19">
      <t>スウチ</t>
    </rPh>
    <rPh sb="21" eb="23">
      <t>オオマチ</t>
    </rPh>
    <rPh sb="23" eb="26">
      <t>ショウボウショ</t>
    </rPh>
    <rPh sb="27" eb="29">
      <t>ホクブ</t>
    </rPh>
    <rPh sb="29" eb="32">
      <t>ショウボウショ</t>
    </rPh>
    <rPh sb="33" eb="35">
      <t>ナンブ</t>
    </rPh>
    <rPh sb="35" eb="38">
      <t>ショウボウショ</t>
    </rPh>
    <rPh sb="39" eb="41">
      <t>ガッサン</t>
    </rPh>
    <rPh sb="41" eb="43">
      <t>スウチ</t>
    </rPh>
    <phoneticPr fontId="5"/>
  </si>
  <si>
    <t>出火原因別の出火件数</t>
    <rPh sb="0" eb="2">
      <t>シュッカ</t>
    </rPh>
    <rPh sb="2" eb="4">
      <t>ゲンイン</t>
    </rPh>
    <rPh sb="4" eb="5">
      <t>ベツ</t>
    </rPh>
    <rPh sb="6" eb="8">
      <t>シュッカ</t>
    </rPh>
    <rPh sb="8" eb="10">
      <t>ケンスウ</t>
    </rPh>
    <phoneticPr fontId="5"/>
  </si>
  <si>
    <t>たばこ</t>
    <phoneticPr fontId="5"/>
  </si>
  <si>
    <t>火あそび</t>
    <rPh sb="0" eb="1">
      <t>ヒアソ</t>
    </rPh>
    <phoneticPr fontId="5"/>
  </si>
  <si>
    <t>たき火</t>
    <rPh sb="2" eb="3">
      <t>ヒ</t>
    </rPh>
    <phoneticPr fontId="5"/>
  </si>
  <si>
    <t>こんろ</t>
    <phoneticPr fontId="5"/>
  </si>
  <si>
    <t>放火
（疑含）</t>
    <rPh sb="0" eb="2">
      <t>ホウカ</t>
    </rPh>
    <rPh sb="4" eb="5">
      <t>ギ</t>
    </rPh>
    <rPh sb="5" eb="6">
      <t>フク</t>
    </rPh>
    <phoneticPr fontId="5"/>
  </si>
  <si>
    <t>風呂かまど</t>
    <rPh sb="0" eb="2">
      <t>フロ</t>
    </rPh>
    <phoneticPr fontId="5"/>
  </si>
  <si>
    <t>ストーブ</t>
    <phoneticPr fontId="5"/>
  </si>
  <si>
    <t>煙突・煙道</t>
    <rPh sb="0" eb="2">
      <t>エントツ</t>
    </rPh>
    <rPh sb="3" eb="4">
      <t>エン</t>
    </rPh>
    <rPh sb="4" eb="5">
      <t>ミチ</t>
    </rPh>
    <phoneticPr fontId="5"/>
  </si>
  <si>
    <t>電灯・配線</t>
    <rPh sb="0" eb="2">
      <t>デントウ</t>
    </rPh>
    <rPh sb="3" eb="5">
      <t>ハイセン</t>
    </rPh>
    <phoneticPr fontId="5"/>
  </si>
  <si>
    <t>交通機関</t>
    <rPh sb="0" eb="2">
      <t>コウツウ</t>
    </rPh>
    <rPh sb="2" eb="4">
      <t>キカン</t>
    </rPh>
    <phoneticPr fontId="5"/>
  </si>
  <si>
    <t>不明
（調査中）</t>
    <rPh sb="0" eb="2">
      <t>フメイ</t>
    </rPh>
    <rPh sb="4" eb="7">
      <t>チョウサチュウ</t>
    </rPh>
    <phoneticPr fontId="5"/>
  </si>
  <si>
    <t>資料：北アルプス広域消防本部</t>
    <rPh sb="0" eb="2">
      <t>シリョウ</t>
    </rPh>
    <rPh sb="3" eb="4">
      <t>キタ</t>
    </rPh>
    <rPh sb="8" eb="10">
      <t>コウイキ</t>
    </rPh>
    <rPh sb="10" eb="12">
      <t>ショウボウ</t>
    </rPh>
    <rPh sb="12" eb="14">
      <t>ホンブ</t>
    </rPh>
    <phoneticPr fontId="5"/>
  </si>
  <si>
    <t>火災の発生件数・焼失面積と損害額等</t>
    <rPh sb="0" eb="2">
      <t>カサイ</t>
    </rPh>
    <rPh sb="3" eb="5">
      <t>ハッセイ</t>
    </rPh>
    <rPh sb="5" eb="7">
      <t>ケンスウ</t>
    </rPh>
    <rPh sb="8" eb="10">
      <t>ショウシツ</t>
    </rPh>
    <rPh sb="10" eb="12">
      <t>メンセキ</t>
    </rPh>
    <rPh sb="13" eb="15">
      <t>ソンガイ</t>
    </rPh>
    <rPh sb="15" eb="16">
      <t>ガク</t>
    </rPh>
    <rPh sb="16" eb="17">
      <t>トウ</t>
    </rPh>
    <phoneticPr fontId="5"/>
  </si>
  <si>
    <t>火　　災　　件　　数</t>
    <rPh sb="0" eb="1">
      <t>ヒ</t>
    </rPh>
    <rPh sb="3" eb="4">
      <t>ワザワ</t>
    </rPh>
    <rPh sb="6" eb="7">
      <t>ケン</t>
    </rPh>
    <rPh sb="9" eb="10">
      <t>カズ</t>
    </rPh>
    <phoneticPr fontId="5"/>
  </si>
  <si>
    <t>焼損面積</t>
    <rPh sb="0" eb="2">
      <t>ショウソン</t>
    </rPh>
    <rPh sb="2" eb="4">
      <t>メンセキ</t>
    </rPh>
    <phoneticPr fontId="5"/>
  </si>
  <si>
    <t>死傷者数</t>
    <rPh sb="0" eb="2">
      <t>シショウ</t>
    </rPh>
    <rPh sb="2" eb="3">
      <t>シャ</t>
    </rPh>
    <rPh sb="3" eb="4">
      <t>スウ</t>
    </rPh>
    <phoneticPr fontId="5"/>
  </si>
  <si>
    <t>損害額</t>
    <rPh sb="0" eb="2">
      <t>ソンガイ</t>
    </rPh>
    <rPh sb="2" eb="3">
      <t>ガク</t>
    </rPh>
    <phoneticPr fontId="5"/>
  </si>
  <si>
    <t>建物</t>
    <rPh sb="0" eb="2">
      <t>タテモノ</t>
    </rPh>
    <phoneticPr fontId="5"/>
  </si>
  <si>
    <t>林野</t>
    <rPh sb="0" eb="2">
      <t>リンヤ</t>
    </rPh>
    <phoneticPr fontId="5"/>
  </si>
  <si>
    <t>車両</t>
    <rPh sb="0" eb="2">
      <t>シャリョウ</t>
    </rPh>
    <phoneticPr fontId="5"/>
  </si>
  <si>
    <t>林野</t>
    <rPh sb="0" eb="1">
      <t>リン</t>
    </rPh>
    <rPh sb="1" eb="2">
      <t>ノ</t>
    </rPh>
    <phoneticPr fontId="5"/>
  </si>
  <si>
    <t>死者</t>
    <rPh sb="0" eb="2">
      <t>シシャ</t>
    </rPh>
    <phoneticPr fontId="5"/>
  </si>
  <si>
    <t>負傷者</t>
    <rPh sb="0" eb="3">
      <t>フショウシャ</t>
    </rPh>
    <phoneticPr fontId="5"/>
  </si>
  <si>
    <t>а</t>
    <phoneticPr fontId="5"/>
  </si>
  <si>
    <t>観光客の入込数の推移（延数）</t>
    <rPh sb="0" eb="3">
      <t>カンコウキャク</t>
    </rPh>
    <rPh sb="4" eb="6">
      <t>イリコ</t>
    </rPh>
    <rPh sb="6" eb="7">
      <t>スウ</t>
    </rPh>
    <rPh sb="8" eb="10">
      <t>スイイ</t>
    </rPh>
    <rPh sb="11" eb="12">
      <t>ノ</t>
    </rPh>
    <rPh sb="12" eb="13">
      <t>スウ</t>
    </rPh>
    <phoneticPr fontId="5"/>
  </si>
  <si>
    <t>観光客
総　数</t>
    <rPh sb="0" eb="1">
      <t>カン</t>
    </rPh>
    <rPh sb="1" eb="2">
      <t>ヒカリ</t>
    </rPh>
    <rPh sb="2" eb="3">
      <t>キャク</t>
    </rPh>
    <rPh sb="4" eb="5">
      <t>フサ</t>
    </rPh>
    <rPh sb="6" eb="7">
      <t>カズ</t>
    </rPh>
    <phoneticPr fontId="5"/>
  </si>
  <si>
    <t>観　　　　　　　光　　　　　　　　地　　　　　　　　内　　　　　　　　訳</t>
    <rPh sb="0" eb="1">
      <t>カン</t>
    </rPh>
    <rPh sb="8" eb="9">
      <t>ヒカリ</t>
    </rPh>
    <rPh sb="17" eb="18">
      <t>チ</t>
    </rPh>
    <rPh sb="26" eb="27">
      <t>ナイ</t>
    </rPh>
    <rPh sb="35" eb="36">
      <t>ヤク</t>
    </rPh>
    <phoneticPr fontId="5"/>
  </si>
  <si>
    <t>対前年比</t>
    <rPh sb="0" eb="1">
      <t>タイ</t>
    </rPh>
    <rPh sb="1" eb="3">
      <t>ゼンネン</t>
    </rPh>
    <rPh sb="3" eb="4">
      <t>ヒ</t>
    </rPh>
    <phoneticPr fontId="5"/>
  </si>
  <si>
    <t>消　費　額</t>
    <rPh sb="0" eb="1">
      <t>ケ</t>
    </rPh>
    <rPh sb="2" eb="3">
      <t>ヒ</t>
    </rPh>
    <rPh sb="4" eb="5">
      <t>ガク</t>
    </rPh>
    <phoneticPr fontId="5"/>
  </si>
  <si>
    <t>大町温泉郷</t>
    <rPh sb="0" eb="2">
      <t>オオマチ</t>
    </rPh>
    <rPh sb="2" eb="5">
      <t>オンセンキョウ</t>
    </rPh>
    <phoneticPr fontId="5"/>
  </si>
  <si>
    <t>高瀬渓谷</t>
    <rPh sb="0" eb="2">
      <t>タカセ</t>
    </rPh>
    <rPh sb="2" eb="4">
      <t>ケイコク</t>
    </rPh>
    <phoneticPr fontId="5"/>
  </si>
  <si>
    <t>市街地
・東山</t>
    <rPh sb="0" eb="3">
      <t>シガイチ</t>
    </rPh>
    <rPh sb="5" eb="7">
      <t>ヒガシヤマ</t>
    </rPh>
    <phoneticPr fontId="5"/>
  </si>
  <si>
    <t>黒部ダム</t>
    <rPh sb="0" eb="2">
      <t>クロベ</t>
    </rPh>
    <phoneticPr fontId="5"/>
  </si>
  <si>
    <t>後 立 山</t>
    <rPh sb="0" eb="1">
      <t>ゴ</t>
    </rPh>
    <rPh sb="2" eb="3">
      <t>タテ</t>
    </rPh>
    <rPh sb="4" eb="5">
      <t>ヤマ</t>
    </rPh>
    <phoneticPr fontId="5"/>
  </si>
  <si>
    <t>仁科三湖</t>
    <rPh sb="0" eb="2">
      <t>ニシナ</t>
    </rPh>
    <rPh sb="2" eb="3">
      <t>サン</t>
    </rPh>
    <rPh sb="3" eb="4">
      <t>コ</t>
    </rPh>
    <phoneticPr fontId="5"/>
  </si>
  <si>
    <t>鷹狩高原</t>
    <rPh sb="0" eb="2">
      <t>タカガリ</t>
    </rPh>
    <rPh sb="2" eb="4">
      <t>コウゲン</t>
    </rPh>
    <phoneticPr fontId="5"/>
  </si>
  <si>
    <r>
      <t xml:space="preserve">新行高原・
</t>
    </r>
    <r>
      <rPr>
        <sz val="8"/>
        <color indexed="8"/>
        <rFont val="ＭＳ ゴシック"/>
        <family val="3"/>
        <charset val="128"/>
      </rPr>
      <t>ぽかぽかランド美麻</t>
    </r>
    <rPh sb="0" eb="1">
      <t>シン</t>
    </rPh>
    <rPh sb="1" eb="2">
      <t>イ</t>
    </rPh>
    <rPh sb="2" eb="4">
      <t>コウゲン</t>
    </rPh>
    <rPh sb="13" eb="14">
      <t>ミ</t>
    </rPh>
    <rPh sb="14" eb="15">
      <t>アサ</t>
    </rPh>
    <phoneticPr fontId="5"/>
  </si>
  <si>
    <t>国営アルプスあづみの公園</t>
    <rPh sb="0" eb="2">
      <t>コクエイ</t>
    </rPh>
    <rPh sb="10" eb="12">
      <t>コウエン</t>
    </rPh>
    <phoneticPr fontId="5"/>
  </si>
  <si>
    <t>乳川源流・アルプスパノラマ工業団地</t>
    <rPh sb="0" eb="1">
      <t>チチ</t>
    </rPh>
    <rPh sb="1" eb="2">
      <t>ガワ</t>
    </rPh>
    <rPh sb="2" eb="4">
      <t>ゲンリュウ</t>
    </rPh>
    <rPh sb="13" eb="15">
      <t>コウギョウ</t>
    </rPh>
    <rPh sb="15" eb="17">
      <t>ダンチ</t>
    </rPh>
    <phoneticPr fontId="5"/>
  </si>
  <si>
    <t>百人</t>
    <rPh sb="0" eb="2">
      <t>ヒャクニン</t>
    </rPh>
    <phoneticPr fontId="5"/>
  </si>
  <si>
    <t xml:space="preserve">   ％</t>
    <phoneticPr fontId="5"/>
  </si>
  <si>
    <t>資料：長野県観光地利用者統計調査結果</t>
    <rPh sb="0" eb="2">
      <t>シリョウ</t>
    </rPh>
    <rPh sb="3" eb="9">
      <t>ナガノケンカンコウチ</t>
    </rPh>
    <rPh sb="9" eb="14">
      <t>リヨウシャトウケイ</t>
    </rPh>
    <rPh sb="14" eb="16">
      <t>チョウサ</t>
    </rPh>
    <rPh sb="16" eb="18">
      <t>ケッカ</t>
    </rPh>
    <phoneticPr fontId="5"/>
  </si>
  <si>
    <t>観光客の入込数（スキー場）</t>
    <rPh sb="0" eb="3">
      <t>カンコウキャク</t>
    </rPh>
    <rPh sb="4" eb="6">
      <t>イリコ</t>
    </rPh>
    <rPh sb="6" eb="7">
      <t>スウ</t>
    </rPh>
    <rPh sb="11" eb="12">
      <t>ジョウ</t>
    </rPh>
    <phoneticPr fontId="5"/>
  </si>
  <si>
    <t>年　　　度</t>
    <rPh sb="0" eb="1">
      <t>トシ</t>
    </rPh>
    <rPh sb="4" eb="5">
      <t>タビ</t>
    </rPh>
    <phoneticPr fontId="5"/>
  </si>
  <si>
    <t>爺  ガ 岳
スキー場</t>
    <rPh sb="0" eb="1">
      <t>ジイ</t>
    </rPh>
    <rPh sb="5" eb="6">
      <t>タケ</t>
    </rPh>
    <rPh sb="10" eb="11">
      <t>ジョウ</t>
    </rPh>
    <phoneticPr fontId="5"/>
  </si>
  <si>
    <t>注）この表の数値は、「観光客の入込数の推移（延数）」の観光客総数に含まれている。</t>
    <rPh sb="0" eb="1">
      <t>チュウ</t>
    </rPh>
    <rPh sb="4" eb="5">
      <t>ヒョウ</t>
    </rPh>
    <rPh sb="6" eb="8">
      <t>スウチ</t>
    </rPh>
    <rPh sb="11" eb="14">
      <t>カンコウキャク</t>
    </rPh>
    <rPh sb="15" eb="17">
      <t>イリコ</t>
    </rPh>
    <rPh sb="17" eb="18">
      <t>スウ</t>
    </rPh>
    <rPh sb="19" eb="21">
      <t>スイイ</t>
    </rPh>
    <rPh sb="22" eb="23">
      <t>ノ</t>
    </rPh>
    <rPh sb="23" eb="24">
      <t>スウ</t>
    </rPh>
    <rPh sb="27" eb="30">
      <t>カンコウキャク</t>
    </rPh>
    <rPh sb="30" eb="32">
      <t>ソウスウ</t>
    </rPh>
    <rPh sb="33" eb="34">
      <t>フク</t>
    </rPh>
    <phoneticPr fontId="5"/>
  </si>
  <si>
    <t>HAKUBA VALLEY
鹿島槍
スキー場</t>
    <rPh sb="14" eb="16">
      <t>カシマ</t>
    </rPh>
    <rPh sb="16" eb="17">
      <t>ヤリ</t>
    </rPh>
    <rPh sb="21" eb="22">
      <t>ジョウ</t>
    </rPh>
    <phoneticPr fontId="5"/>
  </si>
  <si>
    <t>市  有  財  産</t>
    <rPh sb="0" eb="1">
      <t>シ</t>
    </rPh>
    <rPh sb="3" eb="4">
      <t>ユウ</t>
    </rPh>
    <rPh sb="6" eb="7">
      <t>ザイ</t>
    </rPh>
    <rPh sb="9" eb="10">
      <t>サン</t>
    </rPh>
    <phoneticPr fontId="5"/>
  </si>
  <si>
    <t>年　　　　次</t>
    <rPh sb="0" eb="6">
      <t>ネンジ</t>
    </rPh>
    <phoneticPr fontId="5"/>
  </si>
  <si>
    <t>区　　　　分</t>
    <rPh sb="0" eb="6">
      <t>クブン</t>
    </rPh>
    <phoneticPr fontId="5"/>
  </si>
  <si>
    <t>土　 地</t>
    <rPh sb="0" eb="1">
      <t>ツチ</t>
    </rPh>
    <rPh sb="3" eb="4">
      <t>チ</t>
    </rPh>
    <phoneticPr fontId="5"/>
  </si>
  <si>
    <t>建 　物</t>
    <rPh sb="0" eb="1">
      <t>ダテ</t>
    </rPh>
    <rPh sb="3" eb="4">
      <t>モノ</t>
    </rPh>
    <phoneticPr fontId="5"/>
  </si>
  <si>
    <t>㎡</t>
  </si>
  <si>
    <t>行政財産</t>
    <rPh sb="0" eb="1">
      <t>ギョウ</t>
    </rPh>
    <rPh sb="1" eb="2">
      <t>セイ</t>
    </rPh>
    <rPh sb="2" eb="4">
      <t>ザイサン</t>
    </rPh>
    <phoneticPr fontId="5"/>
  </si>
  <si>
    <t>本庁舎</t>
    <rPh sb="0" eb="2">
      <t>ホンチョウ</t>
    </rPh>
    <rPh sb="2" eb="3">
      <t>シャ</t>
    </rPh>
    <phoneticPr fontId="5"/>
  </si>
  <si>
    <t>消防施設</t>
    <rPh sb="0" eb="1">
      <t>ケ</t>
    </rPh>
    <rPh sb="1" eb="2">
      <t>ボウ</t>
    </rPh>
    <rPh sb="2" eb="3">
      <t>ホドコ</t>
    </rPh>
    <rPh sb="3" eb="4">
      <t>セツ</t>
    </rPh>
    <phoneticPr fontId="5"/>
  </si>
  <si>
    <t>その他の行政施設</t>
    <rPh sb="0" eb="3">
      <t>ソノタ</t>
    </rPh>
    <rPh sb="4" eb="6">
      <t>ギョウセイ</t>
    </rPh>
    <rPh sb="6" eb="8">
      <t>シセツ</t>
    </rPh>
    <phoneticPr fontId="5"/>
  </si>
  <si>
    <t>学校</t>
    <rPh sb="0" eb="2">
      <t>ガッコウ</t>
    </rPh>
    <phoneticPr fontId="5"/>
  </si>
  <si>
    <t>公営住宅</t>
    <rPh sb="0" eb="1">
      <t>オオヤケ</t>
    </rPh>
    <rPh sb="1" eb="2">
      <t>エイ</t>
    </rPh>
    <rPh sb="2" eb="3">
      <t>ジュウ</t>
    </rPh>
    <rPh sb="3" eb="4">
      <t>タク</t>
    </rPh>
    <phoneticPr fontId="5"/>
  </si>
  <si>
    <t>公園</t>
    <rPh sb="0" eb="2">
      <t>コウエン</t>
    </rPh>
    <phoneticPr fontId="5"/>
  </si>
  <si>
    <t>その他の公共施設</t>
    <rPh sb="0" eb="3">
      <t>ソノタ</t>
    </rPh>
    <rPh sb="4" eb="8">
      <t>コウキョウシセツ</t>
    </rPh>
    <phoneticPr fontId="5"/>
  </si>
  <si>
    <t>普通財産</t>
    <rPh sb="0" eb="1">
      <t>アマネ</t>
    </rPh>
    <rPh sb="1" eb="2">
      <t>ツウ</t>
    </rPh>
    <rPh sb="2" eb="3">
      <t>ザイ</t>
    </rPh>
    <rPh sb="3" eb="4">
      <t>サン</t>
    </rPh>
    <phoneticPr fontId="5"/>
  </si>
  <si>
    <t>宅地・貸家</t>
    <rPh sb="0" eb="1">
      <t>タク</t>
    </rPh>
    <rPh sb="1" eb="2">
      <t>チ</t>
    </rPh>
    <rPh sb="3" eb="4">
      <t>カ</t>
    </rPh>
    <rPh sb="4" eb="5">
      <t>イエ</t>
    </rPh>
    <phoneticPr fontId="5"/>
  </si>
  <si>
    <t>墓地</t>
    <rPh sb="0" eb="2">
      <t>ボチ</t>
    </rPh>
    <phoneticPr fontId="5"/>
  </si>
  <si>
    <t>山林</t>
    <rPh sb="0" eb="2">
      <t>サンリン</t>
    </rPh>
    <phoneticPr fontId="5"/>
  </si>
  <si>
    <t>資料：企画財政課 　</t>
    <rPh sb="0" eb="2">
      <t>シリョウ</t>
    </rPh>
    <rPh sb="3" eb="5">
      <t>キカク</t>
    </rPh>
    <rPh sb="5" eb="7">
      <t>ザイセイ</t>
    </rPh>
    <rPh sb="7" eb="8">
      <t>カ</t>
    </rPh>
    <phoneticPr fontId="5"/>
  </si>
  <si>
    <t>８　シート移動については、エクセル左下の◀　▶ボタンを右クリックします。</t>
    <rPh sb="5" eb="7">
      <t>イドウ</t>
    </rPh>
    <rPh sb="17" eb="19">
      <t>ヒダリシタ</t>
    </rPh>
    <rPh sb="27" eb="28">
      <t>ミギ</t>
    </rPh>
    <phoneticPr fontId="4"/>
  </si>
  <si>
    <t>医療施設数・医療従事者数の推移</t>
  </si>
  <si>
    <t>医  療  施  設</t>
    <rPh sb="0" eb="1">
      <t>イ</t>
    </rPh>
    <rPh sb="3" eb="4">
      <t>リョウ</t>
    </rPh>
    <rPh sb="6" eb="7">
      <t>ホドコ</t>
    </rPh>
    <rPh sb="9" eb="10">
      <t>セツ</t>
    </rPh>
    <phoneticPr fontId="5"/>
  </si>
  <si>
    <t>医   療   従   事   者</t>
    <rPh sb="0" eb="1">
      <t>イ</t>
    </rPh>
    <rPh sb="4" eb="5">
      <t>リョウ</t>
    </rPh>
    <rPh sb="8" eb="9">
      <t>ジュウ</t>
    </rPh>
    <rPh sb="12" eb="13">
      <t>コト</t>
    </rPh>
    <rPh sb="16" eb="17">
      <t>モノ</t>
    </rPh>
    <phoneticPr fontId="5"/>
  </si>
  <si>
    <t>病　　院</t>
    <rPh sb="0" eb="1">
      <t>ヤマイ</t>
    </rPh>
    <rPh sb="3" eb="4">
      <t>イン</t>
    </rPh>
    <phoneticPr fontId="5"/>
  </si>
  <si>
    <t>診療所</t>
    <rPh sb="0" eb="3">
      <t>シンリョウジョ</t>
    </rPh>
    <phoneticPr fontId="5"/>
  </si>
  <si>
    <t>歯科診療所</t>
    <rPh sb="0" eb="2">
      <t>シカ</t>
    </rPh>
    <rPh sb="2" eb="5">
      <t>シンリョウジョ</t>
    </rPh>
    <phoneticPr fontId="5"/>
  </si>
  <si>
    <t>医　　　師</t>
    <rPh sb="0" eb="1">
      <t>イ</t>
    </rPh>
    <rPh sb="4" eb="5">
      <t>シ</t>
    </rPh>
    <phoneticPr fontId="5"/>
  </si>
  <si>
    <t>歯科医師</t>
    <rPh sb="0" eb="2">
      <t>シカ</t>
    </rPh>
    <rPh sb="2" eb="4">
      <t>イシ</t>
    </rPh>
    <phoneticPr fontId="5"/>
  </si>
  <si>
    <t>薬　剤　師</t>
    <rPh sb="0" eb="1">
      <t>クスリ</t>
    </rPh>
    <rPh sb="2" eb="3">
      <t>ザイ</t>
    </rPh>
    <rPh sb="4" eb="5">
      <t>シ</t>
    </rPh>
    <phoneticPr fontId="5"/>
  </si>
  <si>
    <t>保　健　師</t>
    <rPh sb="0" eb="1">
      <t>タモツ</t>
    </rPh>
    <rPh sb="2" eb="3">
      <t>ケン</t>
    </rPh>
    <rPh sb="4" eb="5">
      <t>シ</t>
    </rPh>
    <phoneticPr fontId="5"/>
  </si>
  <si>
    <t>助　産　師</t>
    <rPh sb="0" eb="1">
      <t>スケ</t>
    </rPh>
    <rPh sb="2" eb="3">
      <t>サン</t>
    </rPh>
    <rPh sb="4" eb="5">
      <t>シ</t>
    </rPh>
    <phoneticPr fontId="5"/>
  </si>
  <si>
    <t>看　護　師</t>
    <rPh sb="0" eb="1">
      <t>ミ</t>
    </rPh>
    <rPh sb="2" eb="3">
      <t>ユズル</t>
    </rPh>
    <rPh sb="4" eb="5">
      <t>シ</t>
    </rPh>
    <phoneticPr fontId="5"/>
  </si>
  <si>
    <t>准看護師</t>
    <rPh sb="0" eb="1">
      <t>ジュン</t>
    </rPh>
    <rPh sb="1" eb="3">
      <t>カンゴ</t>
    </rPh>
    <rPh sb="3" eb="4">
      <t>シ</t>
    </rPh>
    <phoneticPr fontId="5"/>
  </si>
  <si>
    <t>病院数</t>
    <rPh sb="0" eb="2">
      <t>ビョウイン</t>
    </rPh>
    <rPh sb="2" eb="3">
      <t>スウ</t>
    </rPh>
    <phoneticPr fontId="5"/>
  </si>
  <si>
    <t>病床数</t>
    <rPh sb="0" eb="2">
      <t>ビョウショウ</t>
    </rPh>
    <rPh sb="2" eb="3">
      <t>スウ</t>
    </rPh>
    <phoneticPr fontId="5"/>
  </si>
  <si>
    <t>診療所数</t>
    <rPh sb="0" eb="2">
      <t>シンリョウ</t>
    </rPh>
    <rPh sb="2" eb="3">
      <t>トコロ</t>
    </rPh>
    <rPh sb="3" eb="4">
      <t>スウ</t>
    </rPh>
    <phoneticPr fontId="5"/>
  </si>
  <si>
    <t>資料：長野県衛生年報</t>
    <rPh sb="0" eb="2">
      <t>シリョウ</t>
    </rPh>
    <rPh sb="3" eb="6">
      <t>ナガノケン</t>
    </rPh>
    <rPh sb="6" eb="8">
      <t>エイセイ</t>
    </rPh>
    <rPh sb="8" eb="10">
      <t>ネンポウ</t>
    </rPh>
    <phoneticPr fontId="5"/>
  </si>
  <si>
    <t>　　　長野県健康福祉政策課「市町村別医療従事者数」</t>
    <rPh sb="3" eb="6">
      <t>ナガノケン</t>
    </rPh>
    <rPh sb="6" eb="8">
      <t>ケンコウ</t>
    </rPh>
    <rPh sb="8" eb="10">
      <t>フクシ</t>
    </rPh>
    <rPh sb="10" eb="12">
      <t>セイサク</t>
    </rPh>
    <rPh sb="12" eb="13">
      <t>カ</t>
    </rPh>
    <rPh sb="14" eb="17">
      <t>シチョウソン</t>
    </rPh>
    <rPh sb="17" eb="18">
      <t>ベツ</t>
    </rPh>
    <rPh sb="18" eb="20">
      <t>イリョウ</t>
    </rPh>
    <rPh sb="20" eb="23">
      <t>ジュウジシャ</t>
    </rPh>
    <rPh sb="23" eb="24">
      <t>スウ</t>
    </rPh>
    <phoneticPr fontId="5"/>
  </si>
  <si>
    <t>主な死因別死亡者数の推移</t>
    <rPh sb="0" eb="1">
      <t>オモ</t>
    </rPh>
    <rPh sb="2" eb="4">
      <t>シイン</t>
    </rPh>
    <rPh sb="4" eb="5">
      <t>ベツ</t>
    </rPh>
    <rPh sb="5" eb="7">
      <t>シボウ</t>
    </rPh>
    <rPh sb="7" eb="8">
      <t>シャ</t>
    </rPh>
    <rPh sb="8" eb="9">
      <t>スウ</t>
    </rPh>
    <rPh sb="10" eb="12">
      <t>スイイ</t>
    </rPh>
    <phoneticPr fontId="5"/>
  </si>
  <si>
    <t>　　　　　　　年　次
死　因</t>
    <rPh sb="7" eb="8">
      <t>トシ</t>
    </rPh>
    <rPh sb="9" eb="10">
      <t>ツギ</t>
    </rPh>
    <phoneticPr fontId="5"/>
  </si>
  <si>
    <t>令和
元年</t>
    <rPh sb="0" eb="2">
      <t>レイワ</t>
    </rPh>
    <rPh sb="3" eb="5">
      <t>ガンネン</t>
    </rPh>
    <phoneticPr fontId="5"/>
  </si>
  <si>
    <t>令和
2年</t>
    <rPh sb="0" eb="2">
      <t>レイワ</t>
    </rPh>
    <rPh sb="4" eb="5">
      <t>ネン</t>
    </rPh>
    <phoneticPr fontId="5"/>
  </si>
  <si>
    <t>令和
3年</t>
    <rPh sb="0" eb="2">
      <t>レイワ</t>
    </rPh>
    <rPh sb="4" eb="5">
      <t>ネン</t>
    </rPh>
    <phoneticPr fontId="5"/>
  </si>
  <si>
    <t>結核</t>
    <rPh sb="0" eb="2">
      <t>ケッカク</t>
    </rPh>
    <phoneticPr fontId="5"/>
  </si>
  <si>
    <t>悪性新生物</t>
    <rPh sb="0" eb="2">
      <t>アクセイ</t>
    </rPh>
    <rPh sb="2" eb="5">
      <t>シンセイブツ</t>
    </rPh>
    <phoneticPr fontId="5"/>
  </si>
  <si>
    <t>糖尿病</t>
    <rPh sb="0" eb="3">
      <t>トウニョウビョウ</t>
    </rPh>
    <phoneticPr fontId="5"/>
  </si>
  <si>
    <t>高血圧性疾患</t>
    <rPh sb="0" eb="4">
      <t>コウケツアツセイ</t>
    </rPh>
    <rPh sb="4" eb="6">
      <t>シッカン</t>
    </rPh>
    <phoneticPr fontId="5"/>
  </si>
  <si>
    <t>心疾患</t>
    <rPh sb="0" eb="1">
      <t>ココロ</t>
    </rPh>
    <rPh sb="1" eb="3">
      <t>シッカン</t>
    </rPh>
    <phoneticPr fontId="5"/>
  </si>
  <si>
    <t>脳血管疾患</t>
    <rPh sb="0" eb="1">
      <t>ノウ</t>
    </rPh>
    <rPh sb="1" eb="3">
      <t>ケッカン</t>
    </rPh>
    <rPh sb="3" eb="5">
      <t>シッカン</t>
    </rPh>
    <phoneticPr fontId="5"/>
  </si>
  <si>
    <t>肺炎</t>
    <rPh sb="0" eb="2">
      <t>ハイエン</t>
    </rPh>
    <phoneticPr fontId="5"/>
  </si>
  <si>
    <t>慢性閉塞性肺疾患</t>
    <rPh sb="0" eb="2">
      <t>マンセイ</t>
    </rPh>
    <rPh sb="2" eb="3">
      <t>ヘイ</t>
    </rPh>
    <rPh sb="3" eb="4">
      <t>トリデ</t>
    </rPh>
    <rPh sb="4" eb="5">
      <t>セイ</t>
    </rPh>
    <rPh sb="5" eb="6">
      <t>ハイ</t>
    </rPh>
    <rPh sb="6" eb="8">
      <t>シッカン</t>
    </rPh>
    <phoneticPr fontId="5"/>
  </si>
  <si>
    <t>胃潰瘍及び十二指腸潰瘍</t>
    <rPh sb="0" eb="3">
      <t>イカイヨウ</t>
    </rPh>
    <rPh sb="3" eb="4">
      <t>オヨ</t>
    </rPh>
    <rPh sb="5" eb="9">
      <t>ジュウニシチョウ</t>
    </rPh>
    <rPh sb="9" eb="11">
      <t>カイヨウ</t>
    </rPh>
    <phoneticPr fontId="5"/>
  </si>
  <si>
    <t>肝疾患</t>
    <rPh sb="0" eb="1">
      <t>カン</t>
    </rPh>
    <rPh sb="1" eb="3">
      <t>シッカン</t>
    </rPh>
    <phoneticPr fontId="5"/>
  </si>
  <si>
    <t>腎不全</t>
    <rPh sb="0" eb="3">
      <t>ジンフゼン</t>
    </rPh>
    <phoneticPr fontId="5"/>
  </si>
  <si>
    <t>老衰</t>
    <rPh sb="0" eb="2">
      <t>ロウスイ</t>
    </rPh>
    <phoneticPr fontId="5"/>
  </si>
  <si>
    <t>不慮の事故</t>
    <rPh sb="0" eb="2">
      <t>フリョ</t>
    </rPh>
    <rPh sb="3" eb="5">
      <t>ジコ</t>
    </rPh>
    <phoneticPr fontId="5"/>
  </si>
  <si>
    <t>自殺</t>
    <rPh sb="0" eb="2">
      <t>ジサツ</t>
    </rPh>
    <phoneticPr fontId="5"/>
  </si>
  <si>
    <t>課　 等 　の 　事 　務　 分　 掌</t>
    <rPh sb="0" eb="1">
      <t>カ</t>
    </rPh>
    <rPh sb="3" eb="4">
      <t>トウ</t>
    </rPh>
    <rPh sb="9" eb="10">
      <t>コト</t>
    </rPh>
    <rPh sb="12" eb="13">
      <t>ツトム</t>
    </rPh>
    <rPh sb="15" eb="16">
      <t>ブン</t>
    </rPh>
    <rPh sb="18" eb="19">
      <t>テノヒラ</t>
    </rPh>
    <phoneticPr fontId="5"/>
  </si>
  <si>
    <t>課　等　名</t>
    <rPh sb="0" eb="1">
      <t>カ</t>
    </rPh>
    <rPh sb="2" eb="3">
      <t>トウ</t>
    </rPh>
    <rPh sb="4" eb="5">
      <t>メイ</t>
    </rPh>
    <phoneticPr fontId="5"/>
  </si>
  <si>
    <t>事　務　分　掌</t>
    <rPh sb="0" eb="1">
      <t>コト</t>
    </rPh>
    <rPh sb="2" eb="3">
      <t>ツトム</t>
    </rPh>
    <rPh sb="4" eb="5">
      <t>ブン</t>
    </rPh>
    <rPh sb="6" eb="7">
      <t>テノヒラ</t>
    </rPh>
    <phoneticPr fontId="5"/>
  </si>
  <si>
    <t>庶務課</t>
    <rPh sb="0" eb="3">
      <t>ショムカ</t>
    </rPh>
    <phoneticPr fontId="5"/>
  </si>
  <si>
    <t>企画財政課</t>
    <rPh sb="0" eb="2">
      <t>キカク</t>
    </rPh>
    <rPh sb="2" eb="5">
      <t>ザイセイカ</t>
    </rPh>
    <phoneticPr fontId="5"/>
  </si>
  <si>
    <t>企画・調整・統計調査・実施計画・総合計画・広域行政・財政・予算・市有財産・物品購入・検収・庁舎管理・地籍調査・土地開発公社等に関すること</t>
    <rPh sb="0" eb="2">
      <t>キカク</t>
    </rPh>
    <rPh sb="3" eb="5">
      <t>チョウセイ</t>
    </rPh>
    <rPh sb="6" eb="8">
      <t>トウケイ</t>
    </rPh>
    <rPh sb="8" eb="10">
      <t>チョウサ</t>
    </rPh>
    <rPh sb="11" eb="13">
      <t>ジッシ</t>
    </rPh>
    <rPh sb="13" eb="15">
      <t>ケイカク</t>
    </rPh>
    <rPh sb="16" eb="18">
      <t>ソウゴウ</t>
    </rPh>
    <rPh sb="18" eb="20">
      <t>ケイカク</t>
    </rPh>
    <rPh sb="21" eb="23">
      <t>コウイキ</t>
    </rPh>
    <rPh sb="23" eb="25">
      <t>ギョウセイ</t>
    </rPh>
    <rPh sb="26" eb="28">
      <t>ザイセイ</t>
    </rPh>
    <rPh sb="29" eb="31">
      <t>ヨサン</t>
    </rPh>
    <rPh sb="55" eb="57">
      <t>トチ</t>
    </rPh>
    <rPh sb="57" eb="59">
      <t>カイハツ</t>
    </rPh>
    <rPh sb="59" eb="61">
      <t>コウシャ</t>
    </rPh>
    <rPh sb="61" eb="62">
      <t>トウ</t>
    </rPh>
    <rPh sb="63" eb="64">
      <t>カン</t>
    </rPh>
    <phoneticPr fontId="5"/>
  </si>
  <si>
    <t>税務課</t>
    <rPh sb="0" eb="2">
      <t>ゼイム</t>
    </rPh>
    <rPh sb="2" eb="3">
      <t>カ</t>
    </rPh>
    <phoneticPr fontId="5"/>
  </si>
  <si>
    <t>市民税・固定資産税・その他諸税の調査・賦課及び徴収等に関すること</t>
    <rPh sb="0" eb="3">
      <t>シミンゼイ</t>
    </rPh>
    <rPh sb="4" eb="6">
      <t>コテイ</t>
    </rPh>
    <rPh sb="6" eb="9">
      <t>シサンゼイ</t>
    </rPh>
    <rPh sb="12" eb="13">
      <t>タ</t>
    </rPh>
    <rPh sb="13" eb="14">
      <t>ショ</t>
    </rPh>
    <rPh sb="14" eb="15">
      <t>ゼイ</t>
    </rPh>
    <rPh sb="16" eb="18">
      <t>チョウサ</t>
    </rPh>
    <rPh sb="19" eb="21">
      <t>フカ</t>
    </rPh>
    <rPh sb="21" eb="22">
      <t>オヨ</t>
    </rPh>
    <rPh sb="23" eb="24">
      <t>チョウシュウ</t>
    </rPh>
    <rPh sb="24" eb="25">
      <t>シュウ</t>
    </rPh>
    <rPh sb="25" eb="26">
      <t>トウ</t>
    </rPh>
    <rPh sb="27" eb="28">
      <t>カン</t>
    </rPh>
    <phoneticPr fontId="5"/>
  </si>
  <si>
    <t>消防団・消防水利・防災施設・水防・防災計画・危機管理・防犯等に関すること</t>
    <rPh sb="0" eb="3">
      <t>ショウボウダン</t>
    </rPh>
    <rPh sb="9" eb="11">
      <t>ボウサイ</t>
    </rPh>
    <rPh sb="11" eb="13">
      <t>シセツ</t>
    </rPh>
    <rPh sb="14" eb="16">
      <t>スイボウ</t>
    </rPh>
    <rPh sb="17" eb="19">
      <t>ボウサイ</t>
    </rPh>
    <rPh sb="19" eb="21">
      <t>ケイカク</t>
    </rPh>
    <rPh sb="22" eb="24">
      <t>キキ</t>
    </rPh>
    <rPh sb="24" eb="26">
      <t>カンリ</t>
    </rPh>
    <rPh sb="27" eb="29">
      <t>ボウハン</t>
    </rPh>
    <rPh sb="29" eb="30">
      <t>トウ</t>
    </rPh>
    <rPh sb="31" eb="32">
      <t>カン</t>
    </rPh>
    <phoneticPr fontId="5"/>
  </si>
  <si>
    <t>情報交通課</t>
    <rPh sb="0" eb="2">
      <t>ジョウホウ</t>
    </rPh>
    <rPh sb="2" eb="5">
      <t>コウツウカ</t>
    </rPh>
    <phoneticPr fontId="5"/>
  </si>
  <si>
    <t>地域情報化・事務処理の電算化・総合情報センター・ケーブルテレビ放送事業・広聴広報・市民バス等に関すること</t>
    <rPh sb="0" eb="2">
      <t>チイキ</t>
    </rPh>
    <rPh sb="2" eb="5">
      <t>ジョウホウカ</t>
    </rPh>
    <rPh sb="6" eb="8">
      <t>ジム</t>
    </rPh>
    <rPh sb="8" eb="10">
      <t>ショリ</t>
    </rPh>
    <rPh sb="11" eb="14">
      <t>デンサンカ</t>
    </rPh>
    <rPh sb="31" eb="33">
      <t>ホウソウ</t>
    </rPh>
    <rPh sb="33" eb="35">
      <t>ジギョウ</t>
    </rPh>
    <rPh sb="36" eb="38">
      <t>コウチョウ</t>
    </rPh>
    <rPh sb="38" eb="40">
      <t>コウホウ</t>
    </rPh>
    <rPh sb="41" eb="43">
      <t>シミン</t>
    </rPh>
    <rPh sb="45" eb="46">
      <t>トウ</t>
    </rPh>
    <rPh sb="47" eb="48">
      <t>カン</t>
    </rPh>
    <phoneticPr fontId="5"/>
  </si>
  <si>
    <t>市民課</t>
    <rPh sb="0" eb="2">
      <t>シミン</t>
    </rPh>
    <rPh sb="2" eb="3">
      <t>カ</t>
    </rPh>
    <phoneticPr fontId="5"/>
  </si>
  <si>
    <t>生活環境課</t>
    <rPh sb="0" eb="2">
      <t>セイカツ</t>
    </rPh>
    <rPh sb="2" eb="4">
      <t>カンキョウ</t>
    </rPh>
    <rPh sb="4" eb="5">
      <t>カ</t>
    </rPh>
    <phoneticPr fontId="5"/>
  </si>
  <si>
    <t>環境衛生・公害対策・し尿処理・ごみ処理等に関すること</t>
    <rPh sb="0" eb="2">
      <t>カンキョウ</t>
    </rPh>
    <rPh sb="2" eb="4">
      <t>エイセイ</t>
    </rPh>
    <rPh sb="5" eb="7">
      <t>コウガイ</t>
    </rPh>
    <rPh sb="7" eb="9">
      <t>タイサク</t>
    </rPh>
    <rPh sb="11" eb="12">
      <t>ニョウ</t>
    </rPh>
    <rPh sb="12" eb="14">
      <t>ショリ</t>
    </rPh>
    <rPh sb="17" eb="19">
      <t>ショリ</t>
    </rPh>
    <rPh sb="19" eb="20">
      <t>トウ</t>
    </rPh>
    <rPh sb="21" eb="22">
      <t>カン</t>
    </rPh>
    <phoneticPr fontId="5"/>
  </si>
  <si>
    <t>福祉課</t>
    <rPh sb="0" eb="2">
      <t>フクシ</t>
    </rPh>
    <rPh sb="2" eb="3">
      <t>カ</t>
    </rPh>
    <phoneticPr fontId="5"/>
  </si>
  <si>
    <t>生活保護・高齢者福祉・介護保険制度・総合福祉センター・八坂総合福祉センター・美麻総合福祉センター等に関すること</t>
    <rPh sb="0" eb="2">
      <t>セイカツ</t>
    </rPh>
    <rPh sb="2" eb="4">
      <t>ホゴ</t>
    </rPh>
    <rPh sb="5" eb="8">
      <t>コウレイシャ</t>
    </rPh>
    <rPh sb="8" eb="10">
      <t>フクシ</t>
    </rPh>
    <rPh sb="11" eb="13">
      <t>カイゴ</t>
    </rPh>
    <rPh sb="13" eb="15">
      <t>ホケン</t>
    </rPh>
    <rPh sb="15" eb="17">
      <t>セイド</t>
    </rPh>
    <rPh sb="18" eb="20">
      <t>ソウゴウ</t>
    </rPh>
    <rPh sb="20" eb="22">
      <t>フクシ</t>
    </rPh>
    <rPh sb="27" eb="29">
      <t>ヤサカ</t>
    </rPh>
    <rPh sb="29" eb="31">
      <t>ソウゴウ</t>
    </rPh>
    <rPh sb="31" eb="33">
      <t>フクシ</t>
    </rPh>
    <rPh sb="38" eb="40">
      <t>ミアサ</t>
    </rPh>
    <rPh sb="40" eb="42">
      <t>ソウゴウ</t>
    </rPh>
    <rPh sb="42" eb="44">
      <t>フクシ</t>
    </rPh>
    <rPh sb="48" eb="49">
      <t>トウ</t>
    </rPh>
    <rPh sb="50" eb="51">
      <t>カン</t>
    </rPh>
    <phoneticPr fontId="5"/>
  </si>
  <si>
    <t>子育て支援課</t>
    <rPh sb="0" eb="1">
      <t>コ</t>
    </rPh>
    <rPh sb="1" eb="2">
      <t>ソダ</t>
    </rPh>
    <rPh sb="3" eb="5">
      <t>シエン</t>
    </rPh>
    <rPh sb="5" eb="6">
      <t>カ</t>
    </rPh>
    <phoneticPr fontId="5"/>
  </si>
  <si>
    <t>児童福祉・保育所・子育て支援・児童センター等に関すること</t>
    <rPh sb="0" eb="2">
      <t>ジドウ</t>
    </rPh>
    <rPh sb="2" eb="4">
      <t>フクシ</t>
    </rPh>
    <rPh sb="5" eb="7">
      <t>ホイク</t>
    </rPh>
    <rPh sb="7" eb="8">
      <t>ジョ</t>
    </rPh>
    <rPh sb="9" eb="11">
      <t>コソダ</t>
    </rPh>
    <rPh sb="12" eb="14">
      <t>シエン</t>
    </rPh>
    <rPh sb="15" eb="17">
      <t>ジドウ</t>
    </rPh>
    <rPh sb="21" eb="22">
      <t>トウ</t>
    </rPh>
    <rPh sb="23" eb="24">
      <t>カン</t>
    </rPh>
    <phoneticPr fontId="5"/>
  </si>
  <si>
    <t>農林水産課</t>
    <rPh sb="0" eb="2">
      <t>ノウリン</t>
    </rPh>
    <rPh sb="2" eb="4">
      <t>スイサン</t>
    </rPh>
    <rPh sb="4" eb="5">
      <t>カ</t>
    </rPh>
    <phoneticPr fontId="5"/>
  </si>
  <si>
    <t>農業、林業、畜産業、水産業等の振興・農地保全利用等に関すること</t>
    <rPh sb="0" eb="2">
      <t>ノウギョウ</t>
    </rPh>
    <rPh sb="6" eb="8">
      <t>チクサン</t>
    </rPh>
    <rPh sb="8" eb="9">
      <t>ギョウ</t>
    </rPh>
    <rPh sb="10" eb="12">
      <t>スイサン</t>
    </rPh>
    <rPh sb="12" eb="13">
      <t>ギョウ</t>
    </rPh>
    <rPh sb="13" eb="14">
      <t>トウ</t>
    </rPh>
    <rPh sb="15" eb="17">
      <t>シンコウ</t>
    </rPh>
    <rPh sb="18" eb="20">
      <t>ノウチ</t>
    </rPh>
    <rPh sb="20" eb="22">
      <t>ホゼン</t>
    </rPh>
    <rPh sb="22" eb="24">
      <t>リヨウ</t>
    </rPh>
    <rPh sb="24" eb="25">
      <t>トウ</t>
    </rPh>
    <rPh sb="26" eb="27">
      <t>カン</t>
    </rPh>
    <phoneticPr fontId="5"/>
  </si>
  <si>
    <t>産業立地戦略室</t>
    <rPh sb="0" eb="2">
      <t>サンギョウ</t>
    </rPh>
    <rPh sb="2" eb="4">
      <t>リッチ</t>
    </rPh>
    <rPh sb="4" eb="6">
      <t>センリャク</t>
    </rPh>
    <rPh sb="6" eb="7">
      <t>シツ</t>
    </rPh>
    <phoneticPr fontId="5"/>
  </si>
  <si>
    <t>工業振興・企業誘致等に関すること</t>
    <rPh sb="0" eb="2">
      <t>コウギョウ</t>
    </rPh>
    <rPh sb="2" eb="4">
      <t>シンコウ</t>
    </rPh>
    <rPh sb="5" eb="7">
      <t>キギョウ</t>
    </rPh>
    <rPh sb="7" eb="9">
      <t>ユウチ</t>
    </rPh>
    <rPh sb="9" eb="10">
      <t>トウ</t>
    </rPh>
    <rPh sb="11" eb="12">
      <t>カン</t>
    </rPh>
    <phoneticPr fontId="5"/>
  </si>
  <si>
    <t>建設課</t>
    <rPh sb="0" eb="2">
      <t>ケンセツ</t>
    </rPh>
    <rPh sb="2" eb="3">
      <t>カ</t>
    </rPh>
    <phoneticPr fontId="5"/>
  </si>
  <si>
    <t>都市計画・市道、農道、林道、用水路、公園、公共物等の管理・除雪・農地整備・市営住宅等の維持管理等に関すること</t>
    <rPh sb="5" eb="7">
      <t>シドウ</t>
    </rPh>
    <rPh sb="14" eb="17">
      <t>ヨウスイロ</t>
    </rPh>
    <rPh sb="18" eb="20">
      <t>コウエン</t>
    </rPh>
    <rPh sb="21" eb="23">
      <t>コウキョウ</t>
    </rPh>
    <rPh sb="23" eb="24">
      <t>ブツ</t>
    </rPh>
    <rPh sb="24" eb="25">
      <t>トウ</t>
    </rPh>
    <rPh sb="26" eb="28">
      <t>カンリ</t>
    </rPh>
    <rPh sb="29" eb="31">
      <t>ジョセツ</t>
    </rPh>
    <rPh sb="32" eb="34">
      <t>ノウチ</t>
    </rPh>
    <rPh sb="34" eb="36">
      <t>セイビ</t>
    </rPh>
    <rPh sb="37" eb="39">
      <t>シエイ</t>
    </rPh>
    <rPh sb="39" eb="41">
      <t>ジュウタク</t>
    </rPh>
    <rPh sb="41" eb="42">
      <t>トウ</t>
    </rPh>
    <rPh sb="43" eb="45">
      <t>イジ</t>
    </rPh>
    <rPh sb="45" eb="47">
      <t>カンリ</t>
    </rPh>
    <rPh sb="47" eb="48">
      <t>トウ</t>
    </rPh>
    <rPh sb="49" eb="50">
      <t>カン</t>
    </rPh>
    <phoneticPr fontId="5"/>
  </si>
  <si>
    <t>上下水道課</t>
    <rPh sb="0" eb="2">
      <t>ジョウゲ</t>
    </rPh>
    <rPh sb="2" eb="4">
      <t>スイドウ</t>
    </rPh>
    <rPh sb="4" eb="5">
      <t>カ</t>
    </rPh>
    <phoneticPr fontId="5"/>
  </si>
  <si>
    <t>水道事業・公営簡易水道事業・下水事業・市有源泉等に関すること</t>
    <rPh sb="0" eb="2">
      <t>スイドウ</t>
    </rPh>
    <rPh sb="2" eb="4">
      <t>ジギョウ</t>
    </rPh>
    <rPh sb="14" eb="16">
      <t>ゲスイ</t>
    </rPh>
    <rPh sb="16" eb="18">
      <t>ジギョウ</t>
    </rPh>
    <rPh sb="19" eb="21">
      <t>シユウ</t>
    </rPh>
    <rPh sb="21" eb="23">
      <t>ゲンセン</t>
    </rPh>
    <rPh sb="23" eb="24">
      <t>トウ</t>
    </rPh>
    <phoneticPr fontId="5"/>
  </si>
  <si>
    <t>八坂支所</t>
    <rPh sb="0" eb="2">
      <t>ヤサカ</t>
    </rPh>
    <rPh sb="2" eb="4">
      <t>シショ</t>
    </rPh>
    <phoneticPr fontId="5"/>
  </si>
  <si>
    <t>総務係</t>
    <rPh sb="0" eb="2">
      <t>ソウム</t>
    </rPh>
    <rPh sb="2" eb="3">
      <t>カカリ</t>
    </rPh>
    <phoneticPr fontId="5"/>
  </si>
  <si>
    <t>文書・車両管理・庁舎管理・市税、使用料等の徴収・地域内防災及び災害救助・地域自治組織・過疎対策・地域振興事業等に関すること</t>
    <rPh sb="0" eb="2">
      <t>ブンショ</t>
    </rPh>
    <rPh sb="3" eb="5">
      <t>シャリョウ</t>
    </rPh>
    <rPh sb="5" eb="7">
      <t>カンリ</t>
    </rPh>
    <rPh sb="8" eb="10">
      <t>チョウシャ</t>
    </rPh>
    <rPh sb="10" eb="12">
      <t>カンリ</t>
    </rPh>
    <rPh sb="13" eb="14">
      <t>シ</t>
    </rPh>
    <rPh sb="14" eb="15">
      <t>ゼイ</t>
    </rPh>
    <rPh sb="16" eb="19">
      <t>シヨウリョウ</t>
    </rPh>
    <rPh sb="19" eb="20">
      <t>トウ</t>
    </rPh>
    <rPh sb="21" eb="23">
      <t>チョウシュウ</t>
    </rPh>
    <rPh sb="24" eb="26">
      <t>チイキ</t>
    </rPh>
    <rPh sb="26" eb="27">
      <t>ナイ</t>
    </rPh>
    <rPh sb="27" eb="29">
      <t>ボウサイ</t>
    </rPh>
    <rPh sb="29" eb="30">
      <t>オヨ</t>
    </rPh>
    <rPh sb="31" eb="33">
      <t>サイガイ</t>
    </rPh>
    <rPh sb="33" eb="35">
      <t>キュウジョ</t>
    </rPh>
    <rPh sb="36" eb="38">
      <t>チイキ</t>
    </rPh>
    <rPh sb="38" eb="40">
      <t>ジチ</t>
    </rPh>
    <rPh sb="40" eb="42">
      <t>ソシキ</t>
    </rPh>
    <rPh sb="43" eb="45">
      <t>カソ</t>
    </rPh>
    <rPh sb="45" eb="47">
      <t>タイサク</t>
    </rPh>
    <rPh sb="48" eb="50">
      <t>チイキ</t>
    </rPh>
    <rPh sb="50" eb="52">
      <t>シンコウ</t>
    </rPh>
    <rPh sb="52" eb="54">
      <t>ジギョウ</t>
    </rPh>
    <rPh sb="54" eb="55">
      <t>トウ</t>
    </rPh>
    <rPh sb="56" eb="57">
      <t>カン</t>
    </rPh>
    <phoneticPr fontId="5"/>
  </si>
  <si>
    <t>民生係</t>
    <rPh sb="0" eb="2">
      <t>ミンセイ</t>
    </rPh>
    <rPh sb="2" eb="3">
      <t>カカリ</t>
    </rPh>
    <phoneticPr fontId="5"/>
  </si>
  <si>
    <t>戸籍・住民基本台帳・印鑑・国民健康保険、国民年金に係る受付・福祉医療・環境保全・交通安全・生活保護、障害者福祉、老人福祉、児童福祉等に係る受付等に関すること</t>
    <rPh sb="0" eb="2">
      <t>コセキ</t>
    </rPh>
    <rPh sb="3" eb="5">
      <t>ジュウミン</t>
    </rPh>
    <rPh sb="5" eb="7">
      <t>キホン</t>
    </rPh>
    <rPh sb="7" eb="9">
      <t>ダイチョウ</t>
    </rPh>
    <rPh sb="10" eb="12">
      <t>インカン</t>
    </rPh>
    <rPh sb="13" eb="15">
      <t>コクミン</t>
    </rPh>
    <rPh sb="15" eb="17">
      <t>ケンコウ</t>
    </rPh>
    <rPh sb="17" eb="19">
      <t>ホケン</t>
    </rPh>
    <rPh sb="20" eb="22">
      <t>コクミン</t>
    </rPh>
    <rPh sb="22" eb="24">
      <t>ネンキン</t>
    </rPh>
    <rPh sb="25" eb="26">
      <t>カカ</t>
    </rPh>
    <rPh sb="27" eb="29">
      <t>ウケツケ</t>
    </rPh>
    <rPh sb="30" eb="32">
      <t>フクシ</t>
    </rPh>
    <rPh sb="32" eb="34">
      <t>イリョウ</t>
    </rPh>
    <rPh sb="35" eb="37">
      <t>カンキョウ</t>
    </rPh>
    <rPh sb="37" eb="39">
      <t>ホゼン</t>
    </rPh>
    <rPh sb="40" eb="42">
      <t>コウツウ</t>
    </rPh>
    <rPh sb="42" eb="44">
      <t>アンゼン</t>
    </rPh>
    <rPh sb="45" eb="47">
      <t>セイカツ</t>
    </rPh>
    <rPh sb="47" eb="49">
      <t>ホゴ</t>
    </rPh>
    <rPh sb="50" eb="53">
      <t>ショウガイシャ</t>
    </rPh>
    <rPh sb="53" eb="55">
      <t>フクシ</t>
    </rPh>
    <rPh sb="56" eb="58">
      <t>ロウジン</t>
    </rPh>
    <rPh sb="58" eb="60">
      <t>フクシ</t>
    </rPh>
    <rPh sb="61" eb="63">
      <t>ジドウ</t>
    </rPh>
    <rPh sb="63" eb="65">
      <t>フクシ</t>
    </rPh>
    <rPh sb="65" eb="66">
      <t>トウ</t>
    </rPh>
    <rPh sb="67" eb="68">
      <t>カカ</t>
    </rPh>
    <rPh sb="69" eb="71">
      <t>ウケツケ</t>
    </rPh>
    <rPh sb="71" eb="72">
      <t>トウ</t>
    </rPh>
    <rPh sb="73" eb="74">
      <t>カン</t>
    </rPh>
    <phoneticPr fontId="5"/>
  </si>
  <si>
    <t>産業建設係</t>
    <rPh sb="0" eb="2">
      <t>サンギョウ</t>
    </rPh>
    <rPh sb="2" eb="4">
      <t>ケンセツ</t>
    </rPh>
    <rPh sb="4" eb="5">
      <t>カカリ</t>
    </rPh>
    <phoneticPr fontId="5"/>
  </si>
  <si>
    <t>地場産業の振興・農道、水路、林道の維持・加工施設の管理・観光振興・市道、公共物の維持・除雪・砂防、地滑り対策・地域振興住宅・市営住宅に係る受付等に関すること</t>
    <rPh sb="46" eb="48">
      <t>サボウ</t>
    </rPh>
    <rPh sb="49" eb="51">
      <t>ジスベ</t>
    </rPh>
    <rPh sb="52" eb="54">
      <t>タイサク</t>
    </rPh>
    <rPh sb="55" eb="57">
      <t>チイキ</t>
    </rPh>
    <rPh sb="57" eb="59">
      <t>シンコウ</t>
    </rPh>
    <rPh sb="71" eb="72">
      <t>トウ</t>
    </rPh>
    <phoneticPr fontId="5"/>
  </si>
  <si>
    <t>文書・車両管理・庁舎管理・市税、使用料等の徴収・地域自治組織・過疎対策・メンドシーノ交流事業等に関すること</t>
    <rPh sb="0" eb="2">
      <t>ブンショ</t>
    </rPh>
    <rPh sb="3" eb="5">
      <t>シャリョウ</t>
    </rPh>
    <rPh sb="5" eb="7">
      <t>カンリ</t>
    </rPh>
    <rPh sb="8" eb="10">
      <t>チョウシャ</t>
    </rPh>
    <rPh sb="10" eb="12">
      <t>カンリ</t>
    </rPh>
    <rPh sb="13" eb="14">
      <t>シ</t>
    </rPh>
    <rPh sb="14" eb="15">
      <t>ゼイ</t>
    </rPh>
    <rPh sb="16" eb="19">
      <t>シヨウリョウ</t>
    </rPh>
    <rPh sb="19" eb="20">
      <t>トウ</t>
    </rPh>
    <rPh sb="21" eb="23">
      <t>チョウシュウ</t>
    </rPh>
    <rPh sb="24" eb="26">
      <t>チイキ</t>
    </rPh>
    <rPh sb="26" eb="28">
      <t>ジチ</t>
    </rPh>
    <rPh sb="28" eb="30">
      <t>ソシキ</t>
    </rPh>
    <rPh sb="31" eb="33">
      <t>カソ</t>
    </rPh>
    <rPh sb="33" eb="35">
      <t>タイサク</t>
    </rPh>
    <rPh sb="42" eb="44">
      <t>コウリュウ</t>
    </rPh>
    <rPh sb="44" eb="46">
      <t>ジギョウ</t>
    </rPh>
    <rPh sb="46" eb="47">
      <t>トウ</t>
    </rPh>
    <rPh sb="48" eb="49">
      <t>カン</t>
    </rPh>
    <phoneticPr fontId="5"/>
  </si>
  <si>
    <t>戸籍・住民基本台帳・印鑑・国民健康保険、国民年金に係る受付・環境保全・交通安全・生活保護、障害者福祉、老人福祉、児童福祉等に係る受付等に関すること</t>
    <rPh sb="66" eb="67">
      <t>トウ</t>
    </rPh>
    <phoneticPr fontId="5"/>
  </si>
  <si>
    <t>地場産業の振興・農道、水路、林道の維持・加工施設の管理・市民農園の管理・観光振興・市道、公共物の維持・除雪・砂防、地滑り対策・地域振興住宅・市営住宅に係る申請受付等に関すること</t>
    <rPh sb="0" eb="2">
      <t>ジバ</t>
    </rPh>
    <rPh sb="2" eb="4">
      <t>サンギョウ</t>
    </rPh>
    <rPh sb="5" eb="7">
      <t>シンコウ</t>
    </rPh>
    <rPh sb="8" eb="10">
      <t>ノウドウ</t>
    </rPh>
    <rPh sb="11" eb="13">
      <t>スイロ</t>
    </rPh>
    <rPh sb="14" eb="16">
      <t>リンドウ</t>
    </rPh>
    <rPh sb="17" eb="19">
      <t>イジ</t>
    </rPh>
    <rPh sb="20" eb="22">
      <t>カコウ</t>
    </rPh>
    <rPh sb="22" eb="24">
      <t>シセツ</t>
    </rPh>
    <rPh sb="25" eb="27">
      <t>カンリ</t>
    </rPh>
    <rPh sb="28" eb="30">
      <t>シミン</t>
    </rPh>
    <rPh sb="30" eb="32">
      <t>ノウエン</t>
    </rPh>
    <rPh sb="33" eb="35">
      <t>カンリ</t>
    </rPh>
    <rPh sb="36" eb="38">
      <t>カンコウ</t>
    </rPh>
    <rPh sb="38" eb="40">
      <t>シンコウ</t>
    </rPh>
    <rPh sb="41" eb="43">
      <t>シドウ</t>
    </rPh>
    <rPh sb="44" eb="46">
      <t>コウキョウ</t>
    </rPh>
    <rPh sb="46" eb="47">
      <t>ブツ</t>
    </rPh>
    <rPh sb="48" eb="50">
      <t>イジ</t>
    </rPh>
    <rPh sb="51" eb="53">
      <t>ジョセツ</t>
    </rPh>
    <rPh sb="54" eb="56">
      <t>サボウ</t>
    </rPh>
    <rPh sb="57" eb="59">
      <t>ジスベ</t>
    </rPh>
    <rPh sb="60" eb="62">
      <t>タイサク</t>
    </rPh>
    <rPh sb="63" eb="65">
      <t>チイキ</t>
    </rPh>
    <rPh sb="65" eb="67">
      <t>シンコウ</t>
    </rPh>
    <rPh sb="67" eb="69">
      <t>ジュウタク</t>
    </rPh>
    <rPh sb="70" eb="72">
      <t>シエイ</t>
    </rPh>
    <rPh sb="72" eb="74">
      <t>ジュウタク</t>
    </rPh>
    <rPh sb="75" eb="76">
      <t>カカ</t>
    </rPh>
    <rPh sb="77" eb="79">
      <t>シンセイ</t>
    </rPh>
    <rPh sb="79" eb="81">
      <t>ウケツケ</t>
    </rPh>
    <rPh sb="81" eb="82">
      <t>トウ</t>
    </rPh>
    <rPh sb="83" eb="84">
      <t>カン</t>
    </rPh>
    <phoneticPr fontId="5"/>
  </si>
  <si>
    <t>会計課</t>
    <rPh sb="0" eb="3">
      <t>カイケイカ</t>
    </rPh>
    <phoneticPr fontId="5"/>
  </si>
  <si>
    <t>現金の出納・保管・決算・その他経理に関すること</t>
    <rPh sb="0" eb="2">
      <t>ゲンキン</t>
    </rPh>
    <rPh sb="3" eb="4">
      <t>デ</t>
    </rPh>
    <rPh sb="4" eb="5">
      <t>ノウ</t>
    </rPh>
    <rPh sb="6" eb="8">
      <t>ホカン</t>
    </rPh>
    <rPh sb="9" eb="11">
      <t>ケッサン</t>
    </rPh>
    <rPh sb="14" eb="15">
      <t>タ</t>
    </rPh>
    <rPh sb="15" eb="17">
      <t>ケイリ</t>
    </rPh>
    <rPh sb="18" eb="19">
      <t>カン</t>
    </rPh>
    <phoneticPr fontId="5"/>
  </si>
  <si>
    <t>市立大町総合病院</t>
    <rPh sb="0" eb="2">
      <t>シリツ</t>
    </rPh>
    <rPh sb="2" eb="4">
      <t>オオマチ</t>
    </rPh>
    <rPh sb="4" eb="6">
      <t>ソウゴウ</t>
    </rPh>
    <rPh sb="6" eb="8">
      <t>ビョウイン</t>
    </rPh>
    <phoneticPr fontId="5"/>
  </si>
  <si>
    <t>診療（内科・外科・産婦人科・耳鼻咽喉科・眼科・小児科・整形外科・脳神経外科・皮膚科・泌尿器科・形成外科）事務・薬剤・放射線・臨床検査・人工透析・リハビリテーション・看護・給食等に関すること</t>
    <rPh sb="0" eb="2">
      <t>シンリョウ</t>
    </rPh>
    <rPh sb="3" eb="5">
      <t>ナイカ</t>
    </rPh>
    <rPh sb="6" eb="7">
      <t>ガイカ</t>
    </rPh>
    <rPh sb="7" eb="8">
      <t>カ</t>
    </rPh>
    <rPh sb="9" eb="13">
      <t>サンフジンカ</t>
    </rPh>
    <rPh sb="14" eb="16">
      <t>ジビ</t>
    </rPh>
    <rPh sb="16" eb="18">
      <t>インコウ</t>
    </rPh>
    <rPh sb="18" eb="19">
      <t>カ</t>
    </rPh>
    <rPh sb="20" eb="22">
      <t>ガンカ</t>
    </rPh>
    <rPh sb="23" eb="24">
      <t>ショウ</t>
    </rPh>
    <rPh sb="24" eb="25">
      <t>ニ</t>
    </rPh>
    <rPh sb="25" eb="26">
      <t>カ</t>
    </rPh>
    <rPh sb="27" eb="29">
      <t>セイケイ</t>
    </rPh>
    <rPh sb="29" eb="31">
      <t>ゲカ</t>
    </rPh>
    <rPh sb="32" eb="33">
      <t>ノウ</t>
    </rPh>
    <rPh sb="33" eb="35">
      <t>シンケイ</t>
    </rPh>
    <rPh sb="35" eb="37">
      <t>ゲカ</t>
    </rPh>
    <rPh sb="38" eb="41">
      <t>ヒフカ</t>
    </rPh>
    <rPh sb="42" eb="43">
      <t>ヒ</t>
    </rPh>
    <rPh sb="43" eb="44">
      <t>ニョウ</t>
    </rPh>
    <rPh sb="44" eb="45">
      <t>キ</t>
    </rPh>
    <rPh sb="45" eb="46">
      <t>カ</t>
    </rPh>
    <rPh sb="47" eb="49">
      <t>ケイセイ</t>
    </rPh>
    <rPh sb="49" eb="51">
      <t>ゲカ</t>
    </rPh>
    <rPh sb="52" eb="54">
      <t>ジム</t>
    </rPh>
    <rPh sb="55" eb="57">
      <t>ヤクザイ</t>
    </rPh>
    <rPh sb="58" eb="61">
      <t>ホウシャセン</t>
    </rPh>
    <rPh sb="62" eb="64">
      <t>リンショウ</t>
    </rPh>
    <rPh sb="64" eb="66">
      <t>ケンサ</t>
    </rPh>
    <rPh sb="67" eb="68">
      <t>ジンコウ</t>
    </rPh>
    <rPh sb="68" eb="69">
      <t>コウ</t>
    </rPh>
    <rPh sb="69" eb="71">
      <t>トウセキ</t>
    </rPh>
    <rPh sb="82" eb="84">
      <t>カンゴ</t>
    </rPh>
    <rPh sb="85" eb="87">
      <t>キュウショク</t>
    </rPh>
    <rPh sb="87" eb="88">
      <t>トウ</t>
    </rPh>
    <rPh sb="89" eb="90">
      <t>カン</t>
    </rPh>
    <phoneticPr fontId="5"/>
  </si>
  <si>
    <t>議会事務局</t>
    <rPh sb="0" eb="2">
      <t>ギカイ</t>
    </rPh>
    <rPh sb="2" eb="5">
      <t>ジムキョク</t>
    </rPh>
    <phoneticPr fontId="5"/>
  </si>
  <si>
    <t>本会議・委員会・会議録の調整等市議会一般に関すること</t>
    <rPh sb="0" eb="3">
      <t>ホンカイギ</t>
    </rPh>
    <rPh sb="4" eb="7">
      <t>イインカイ</t>
    </rPh>
    <rPh sb="8" eb="10">
      <t>カイギ</t>
    </rPh>
    <rPh sb="10" eb="11">
      <t>ロク</t>
    </rPh>
    <rPh sb="12" eb="14">
      <t>チョウセイ</t>
    </rPh>
    <rPh sb="14" eb="15">
      <t>トウ</t>
    </rPh>
    <rPh sb="15" eb="16">
      <t>シ</t>
    </rPh>
    <rPh sb="16" eb="18">
      <t>ギカイ</t>
    </rPh>
    <rPh sb="18" eb="20">
      <t>イッパン</t>
    </rPh>
    <rPh sb="21" eb="22">
      <t>カン</t>
    </rPh>
    <phoneticPr fontId="5"/>
  </si>
  <si>
    <t>教育委員会事務局</t>
    <rPh sb="0" eb="2">
      <t>キョウイク</t>
    </rPh>
    <rPh sb="2" eb="5">
      <t>イインカイ</t>
    </rPh>
    <rPh sb="5" eb="7">
      <t>ジム</t>
    </rPh>
    <rPh sb="7" eb="8">
      <t>キョク</t>
    </rPh>
    <phoneticPr fontId="5"/>
  </si>
  <si>
    <t>学校教育・生涯学習・社会体育・同和推進・文化財の保護等に関すること</t>
    <rPh sb="0" eb="2">
      <t>ガッコウ</t>
    </rPh>
    <rPh sb="2" eb="4">
      <t>キョウイク</t>
    </rPh>
    <rPh sb="5" eb="7">
      <t>ショウガイ</t>
    </rPh>
    <rPh sb="7" eb="9">
      <t>ガクシュウ</t>
    </rPh>
    <rPh sb="10" eb="12">
      <t>シャカイ</t>
    </rPh>
    <rPh sb="12" eb="14">
      <t>タイイク</t>
    </rPh>
    <rPh sb="15" eb="17">
      <t>ドウワ</t>
    </rPh>
    <rPh sb="17" eb="19">
      <t>スイシン</t>
    </rPh>
    <rPh sb="20" eb="23">
      <t>ブンカザイ</t>
    </rPh>
    <rPh sb="24" eb="26">
      <t>ホゴ</t>
    </rPh>
    <rPh sb="26" eb="27">
      <t>トウ</t>
    </rPh>
    <rPh sb="28" eb="29">
      <t>カン</t>
    </rPh>
    <phoneticPr fontId="5"/>
  </si>
  <si>
    <t>選挙管理委員会事務局</t>
    <rPh sb="0" eb="2">
      <t>センキョ</t>
    </rPh>
    <rPh sb="2" eb="4">
      <t>カンリ</t>
    </rPh>
    <rPh sb="4" eb="7">
      <t>イインカイ</t>
    </rPh>
    <rPh sb="7" eb="10">
      <t>ジムキョク</t>
    </rPh>
    <phoneticPr fontId="5"/>
  </si>
  <si>
    <t>選挙人名簿の調査・選挙の執行管理に関すること</t>
    <rPh sb="0" eb="2">
      <t>センキョ</t>
    </rPh>
    <rPh sb="2" eb="3">
      <t>ニン</t>
    </rPh>
    <rPh sb="3" eb="5">
      <t>メイボ</t>
    </rPh>
    <rPh sb="6" eb="8">
      <t>チョウサ</t>
    </rPh>
    <rPh sb="9" eb="11">
      <t>センキョ</t>
    </rPh>
    <rPh sb="12" eb="14">
      <t>シッコウ</t>
    </rPh>
    <rPh sb="14" eb="16">
      <t>カンリ</t>
    </rPh>
    <rPh sb="17" eb="18">
      <t>カン</t>
    </rPh>
    <phoneticPr fontId="5"/>
  </si>
  <si>
    <t>監査委員事務局</t>
    <rPh sb="0" eb="2">
      <t>カンサ</t>
    </rPh>
    <rPh sb="2" eb="4">
      <t>イイン</t>
    </rPh>
    <rPh sb="4" eb="7">
      <t>ジムキョク</t>
    </rPh>
    <phoneticPr fontId="5"/>
  </si>
  <si>
    <t>事務監査・出納検査・決算審査に関すること</t>
    <rPh sb="0" eb="2">
      <t>ジム</t>
    </rPh>
    <rPh sb="2" eb="4">
      <t>カンサ</t>
    </rPh>
    <rPh sb="5" eb="7">
      <t>スイトウ</t>
    </rPh>
    <rPh sb="7" eb="9">
      <t>ケンサ</t>
    </rPh>
    <rPh sb="10" eb="12">
      <t>ケッサン</t>
    </rPh>
    <rPh sb="12" eb="14">
      <t>シンサ</t>
    </rPh>
    <rPh sb="15" eb="16">
      <t>カン</t>
    </rPh>
    <phoneticPr fontId="5"/>
  </si>
  <si>
    <t>農業委員会事務局</t>
    <rPh sb="0" eb="2">
      <t>ノウギョウ</t>
    </rPh>
    <rPh sb="2" eb="5">
      <t>イインカイ</t>
    </rPh>
    <rPh sb="5" eb="8">
      <t>ジムキョク</t>
    </rPh>
    <phoneticPr fontId="5"/>
  </si>
  <si>
    <t>農地調整・国有農地の管理・農業振興・農政に関すること</t>
    <rPh sb="0" eb="2">
      <t>ノウチ</t>
    </rPh>
    <rPh sb="2" eb="4">
      <t>チョウセイ</t>
    </rPh>
    <rPh sb="5" eb="7">
      <t>コクユウチ</t>
    </rPh>
    <rPh sb="7" eb="9">
      <t>ノウチ</t>
    </rPh>
    <rPh sb="10" eb="12">
      <t>カンリ</t>
    </rPh>
    <rPh sb="13" eb="15">
      <t>ノウギョウ</t>
    </rPh>
    <rPh sb="15" eb="17">
      <t>シンコウ</t>
    </rPh>
    <rPh sb="18" eb="19">
      <t>ノウ</t>
    </rPh>
    <rPh sb="19" eb="20">
      <t>セイ</t>
    </rPh>
    <rPh sb="21" eb="22">
      <t>カン</t>
    </rPh>
    <phoneticPr fontId="5"/>
  </si>
  <si>
    <t>議案・秘書・例規・職員人事・文書・車両管理・市民参加と協働のしくみ・男女共同参画・人権政策・市民活動サポートセンター・その他の課の分掌に属さないことに関すること</t>
    <rPh sb="0" eb="2">
      <t>ギアン</t>
    </rPh>
    <rPh sb="3" eb="5">
      <t>ヒショ</t>
    </rPh>
    <rPh sb="6" eb="8">
      <t>レイキ</t>
    </rPh>
    <rPh sb="9" eb="11">
      <t>ショクイン</t>
    </rPh>
    <rPh sb="11" eb="13">
      <t>ジンジ</t>
    </rPh>
    <rPh sb="14" eb="15">
      <t>ブンショウ</t>
    </rPh>
    <rPh sb="15" eb="16">
      <t>ショ</t>
    </rPh>
    <rPh sb="17" eb="19">
      <t>シャリョウ</t>
    </rPh>
    <rPh sb="19" eb="21">
      <t>カンリ</t>
    </rPh>
    <rPh sb="22" eb="24">
      <t>シミン</t>
    </rPh>
    <rPh sb="24" eb="26">
      <t>サンカ</t>
    </rPh>
    <rPh sb="27" eb="29">
      <t>キョウドウ</t>
    </rPh>
    <rPh sb="61" eb="62">
      <t>タ</t>
    </rPh>
    <rPh sb="63" eb="64">
      <t>カ</t>
    </rPh>
    <rPh sb="65" eb="67">
      <t>ブンショウ</t>
    </rPh>
    <rPh sb="68" eb="69">
      <t>ゾク</t>
    </rPh>
    <rPh sb="75" eb="76">
      <t>カン</t>
    </rPh>
    <phoneticPr fontId="5"/>
  </si>
  <si>
    <t>まちづくり産業課</t>
    <rPh sb="5" eb="7">
      <t>サンギョウ</t>
    </rPh>
    <rPh sb="7" eb="8">
      <t>カ</t>
    </rPh>
    <phoneticPr fontId="5"/>
  </si>
  <si>
    <t>商工業、中小企業の振興・雇用対策・労政・ブランド振興・地場産業・定住促進等に関すること</t>
    <rPh sb="36" eb="37">
      <t>トウゲイジュツブンカコクサイゲイジュツサイトウカイサイカン</t>
    </rPh>
    <phoneticPr fontId="5"/>
  </si>
  <si>
    <t>危機管理課</t>
    <rPh sb="0" eb="4">
      <t>キキカンリ</t>
    </rPh>
    <rPh sb="4" eb="5">
      <t>カ</t>
    </rPh>
    <phoneticPr fontId="5"/>
  </si>
  <si>
    <t>戸籍・住民基本台帳・印鑑・国民健康保険・国民年金・消費者行政・交通安全対策・保健事業・母子保健・保健センター・診療所等に関すること</t>
    <rPh sb="0" eb="2">
      <t>コセキ</t>
    </rPh>
    <rPh sb="3" eb="5">
      <t>ジュウミン</t>
    </rPh>
    <rPh sb="5" eb="7">
      <t>キホン</t>
    </rPh>
    <rPh sb="7" eb="9">
      <t>ダイチョウ</t>
    </rPh>
    <rPh sb="10" eb="12">
      <t>インカン</t>
    </rPh>
    <rPh sb="13" eb="15">
      <t>コクミン</t>
    </rPh>
    <rPh sb="15" eb="17">
      <t>ケンコウ</t>
    </rPh>
    <rPh sb="17" eb="19">
      <t>ホケン</t>
    </rPh>
    <rPh sb="20" eb="22">
      <t>コクミン</t>
    </rPh>
    <rPh sb="22" eb="24">
      <t>ネンキン</t>
    </rPh>
    <rPh sb="25" eb="28">
      <t>ショウヒシャ</t>
    </rPh>
    <rPh sb="28" eb="30">
      <t>ギョウセイ</t>
    </rPh>
    <rPh sb="31" eb="33">
      <t>コウツウ</t>
    </rPh>
    <rPh sb="33" eb="35">
      <t>アンゼン</t>
    </rPh>
    <rPh sb="35" eb="37">
      <t>タイサク</t>
    </rPh>
    <rPh sb="38" eb="40">
      <t>ホケン</t>
    </rPh>
    <rPh sb="40" eb="42">
      <t>ジギョウ</t>
    </rPh>
    <rPh sb="43" eb="45">
      <t>ボシ</t>
    </rPh>
    <rPh sb="45" eb="47">
      <t>ホケン</t>
    </rPh>
    <rPh sb="48" eb="50">
      <t>ホケン</t>
    </rPh>
    <rPh sb="55" eb="58">
      <t>シンリョウジョ</t>
    </rPh>
    <rPh sb="58" eb="59">
      <t>トウ</t>
    </rPh>
    <rPh sb="60" eb="61">
      <t>カン</t>
    </rPh>
    <phoneticPr fontId="5"/>
  </si>
  <si>
    <t>観光文化課</t>
    <rPh sb="0" eb="2">
      <t>カンコウカ</t>
    </rPh>
    <rPh sb="2" eb="4">
      <t>ブンカ</t>
    </rPh>
    <rPh sb="4" eb="5">
      <t>カ</t>
    </rPh>
    <phoneticPr fontId="5"/>
  </si>
  <si>
    <t>観光振興・誘客宣伝・観光施設の維持管理・国営公園を生かした地域振興・芸術文化・国際芸術祭の開催等に関すること</t>
    <rPh sb="0" eb="2">
      <t>カンコウ</t>
    </rPh>
    <rPh sb="2" eb="4">
      <t>シンコウ</t>
    </rPh>
    <rPh sb="5" eb="7">
      <t>ユウキャク</t>
    </rPh>
    <rPh sb="7" eb="9">
      <t>センデン</t>
    </rPh>
    <rPh sb="10" eb="12">
      <t>カンコウ</t>
    </rPh>
    <rPh sb="12" eb="14">
      <t>シセツ</t>
    </rPh>
    <rPh sb="15" eb="17">
      <t>イジ</t>
    </rPh>
    <rPh sb="17" eb="19">
      <t>カンリ</t>
    </rPh>
    <rPh sb="20" eb="22">
      <t>コクエイ</t>
    </rPh>
    <rPh sb="22" eb="24">
      <t>コウエン</t>
    </rPh>
    <rPh sb="25" eb="26">
      <t>イ</t>
    </rPh>
    <rPh sb="29" eb="31">
      <t>チイキ</t>
    </rPh>
    <rPh sb="31" eb="33">
      <t>シンコウ</t>
    </rPh>
    <rPh sb="47" eb="48">
      <t>トウカン</t>
    </rPh>
    <phoneticPr fontId="5"/>
  </si>
  <si>
    <t>観　光　地　等　の　概　要</t>
    <rPh sb="0" eb="1">
      <t>カン</t>
    </rPh>
    <rPh sb="2" eb="3">
      <t>ヒカリ</t>
    </rPh>
    <rPh sb="4" eb="5">
      <t>チ</t>
    </rPh>
    <rPh sb="6" eb="7">
      <t>トウ</t>
    </rPh>
    <rPh sb="10" eb="11">
      <t>オオムネ</t>
    </rPh>
    <rPh sb="12" eb="13">
      <t>ヨウ</t>
    </rPh>
    <phoneticPr fontId="5"/>
  </si>
  <si>
    <t>名　　　称</t>
    <rPh sb="0" eb="1">
      <t>メイ</t>
    </rPh>
    <rPh sb="4" eb="5">
      <t>ショウ</t>
    </rPh>
    <phoneticPr fontId="5"/>
  </si>
  <si>
    <t>概　　　　　　　　　　　　　　　　　　　　　　　　　　　　　要</t>
    <rPh sb="0" eb="1">
      <t>オオムネ</t>
    </rPh>
    <rPh sb="30" eb="31">
      <t>ヨウ</t>
    </rPh>
    <phoneticPr fontId="5"/>
  </si>
  <si>
    <t>　仁科三湖中最も開発された湖で、キャンプ場などがある。釣り、ボート、カヤック、ウェイクボードやＳＵＰなどウォータースポーツも盛んに行われている。新緑、夏の避暑、紅葉、黒部ダム探勝の基地の温泉をもち、四季を通じて訪れる人があとをたたない。
　湖畔には伝統を誇る夏期大学があり、全国各地から集まる講師や受講生で賑わい、風光明媚な自然の環境が年と共に活況を極めつつある。
　大糸線信濃木崎駅から徒歩15分。</t>
    <rPh sb="1" eb="3">
      <t>ニシナ</t>
    </rPh>
    <rPh sb="3" eb="4">
      <t>サン</t>
    </rPh>
    <rPh sb="4" eb="5">
      <t>コ</t>
    </rPh>
    <rPh sb="5" eb="6">
      <t>ナカ</t>
    </rPh>
    <rPh sb="6" eb="7">
      <t>モット</t>
    </rPh>
    <rPh sb="8" eb="10">
      <t>カイハツ</t>
    </rPh>
    <rPh sb="13" eb="14">
      <t>ミズウミ</t>
    </rPh>
    <rPh sb="20" eb="21">
      <t>ジョウ</t>
    </rPh>
    <rPh sb="27" eb="28">
      <t>ツ</t>
    </rPh>
    <rPh sb="62" eb="63">
      <t>サカ</t>
    </rPh>
    <rPh sb="65" eb="66">
      <t>オコナ</t>
    </rPh>
    <rPh sb="72" eb="74">
      <t>シンリョク</t>
    </rPh>
    <rPh sb="75" eb="76">
      <t>ナツ</t>
    </rPh>
    <rPh sb="77" eb="79">
      <t>ヒショ</t>
    </rPh>
    <rPh sb="80" eb="82">
      <t>コウヨウ</t>
    </rPh>
    <rPh sb="83" eb="85">
      <t>クロベ</t>
    </rPh>
    <rPh sb="87" eb="88">
      <t>タン</t>
    </rPh>
    <rPh sb="88" eb="89">
      <t>ショウ</t>
    </rPh>
    <rPh sb="90" eb="92">
      <t>キチ</t>
    </rPh>
    <rPh sb="93" eb="95">
      <t>オンセン</t>
    </rPh>
    <rPh sb="102" eb="103">
      <t>ツウ</t>
    </rPh>
    <rPh sb="105" eb="106">
      <t>オトズ</t>
    </rPh>
    <rPh sb="108" eb="109">
      <t>ヒト</t>
    </rPh>
    <rPh sb="120" eb="122">
      <t>コハン</t>
    </rPh>
    <rPh sb="124" eb="126">
      <t>デントウ</t>
    </rPh>
    <rPh sb="127" eb="128">
      <t>ホコ</t>
    </rPh>
    <rPh sb="130" eb="131">
      <t>キ</t>
    </rPh>
    <rPh sb="131" eb="133">
      <t>ダイガク</t>
    </rPh>
    <rPh sb="137" eb="139">
      <t>ゼンコク</t>
    </rPh>
    <rPh sb="139" eb="141">
      <t>カクチ</t>
    </rPh>
    <rPh sb="143" eb="144">
      <t>アツ</t>
    </rPh>
    <rPh sb="146" eb="148">
      <t>コウシ</t>
    </rPh>
    <rPh sb="149" eb="152">
      <t>ジュコウセイ</t>
    </rPh>
    <rPh sb="153" eb="154">
      <t>ニギ</t>
    </rPh>
    <rPh sb="157" eb="159">
      <t>フウコウ</t>
    </rPh>
    <rPh sb="159" eb="161">
      <t>メイビ</t>
    </rPh>
    <rPh sb="162" eb="164">
      <t>シゼン</t>
    </rPh>
    <rPh sb="165" eb="167">
      <t>カンキョウ</t>
    </rPh>
    <rPh sb="168" eb="169">
      <t>トシ</t>
    </rPh>
    <rPh sb="170" eb="171">
      <t>トモ</t>
    </rPh>
    <rPh sb="172" eb="174">
      <t>カッキョウ</t>
    </rPh>
    <rPh sb="175" eb="176">
      <t>キワ</t>
    </rPh>
    <rPh sb="184" eb="187">
      <t>オオイトセン</t>
    </rPh>
    <rPh sb="187" eb="192">
      <t>シナノキザキエキ</t>
    </rPh>
    <rPh sb="194" eb="196">
      <t>トホ</t>
    </rPh>
    <rPh sb="198" eb="199">
      <t>フン</t>
    </rPh>
    <phoneticPr fontId="5"/>
  </si>
  <si>
    <t>　周囲2.225mで仁科三湖中最も小さい。ワカサギ、ヘラブナ、ウグイ、コイ等が豊富で避暑がてらの釣り人の好適地として知られている。また冬の穴釣りは野趣に富んでいる。春の湖畔はオオヤマザクラがとても美しい。
　大糸線簗場駅下車前。</t>
    <rPh sb="1" eb="3">
      <t>シュウイ</t>
    </rPh>
    <rPh sb="10" eb="12">
      <t>ニシナ</t>
    </rPh>
    <rPh sb="12" eb="13">
      <t>サン</t>
    </rPh>
    <rPh sb="13" eb="14">
      <t>コ</t>
    </rPh>
    <rPh sb="14" eb="15">
      <t>ナカ</t>
    </rPh>
    <rPh sb="15" eb="16">
      <t>モット</t>
    </rPh>
    <rPh sb="17" eb="18">
      <t>チイ</t>
    </rPh>
    <rPh sb="37" eb="38">
      <t>トウ</t>
    </rPh>
    <rPh sb="39" eb="41">
      <t>ホウフ</t>
    </rPh>
    <rPh sb="42" eb="44">
      <t>ヒショ</t>
    </rPh>
    <rPh sb="48" eb="49">
      <t>ツ</t>
    </rPh>
    <rPh sb="50" eb="51">
      <t>ビト</t>
    </rPh>
    <rPh sb="52" eb="54">
      <t>コウテキ</t>
    </rPh>
    <rPh sb="54" eb="55">
      <t>チ</t>
    </rPh>
    <rPh sb="58" eb="59">
      <t>シ</t>
    </rPh>
    <rPh sb="67" eb="68">
      <t>フユ</t>
    </rPh>
    <rPh sb="69" eb="70">
      <t>アナ</t>
    </rPh>
    <rPh sb="70" eb="71">
      <t>ヅ</t>
    </rPh>
    <rPh sb="73" eb="75">
      <t>ヤシュ</t>
    </rPh>
    <rPh sb="76" eb="77">
      <t>ト</t>
    </rPh>
    <rPh sb="82" eb="83">
      <t>ハル</t>
    </rPh>
    <rPh sb="84" eb="86">
      <t>コハン</t>
    </rPh>
    <rPh sb="98" eb="99">
      <t>ウツク</t>
    </rPh>
    <rPh sb="104" eb="107">
      <t>オオイトセン</t>
    </rPh>
    <rPh sb="107" eb="109">
      <t>ヤナバ</t>
    </rPh>
    <rPh sb="109" eb="110">
      <t>エキ</t>
    </rPh>
    <rPh sb="110" eb="112">
      <t>ゲシャ</t>
    </rPh>
    <rPh sb="112" eb="113">
      <t>マエ</t>
    </rPh>
    <phoneticPr fontId="5"/>
  </si>
  <si>
    <t>　湖畔の静寂さは仁科三湖中随一であり、白馬三山を紺碧の湖面に映している。湖面は国内有数の透明度を誇る。湖畔には西国三十三番の観音石仏がかつての千国街道の面影を残し、キャンプ、ハイキングの散策には最適である。釣り、ボート、カヤックやＳＵＰなどウォータースポーツも盛んなほか、ホタル観賞クルーズなども行われている。
　大糸線簗場駅から徒歩20分。</t>
    <rPh sb="1" eb="3">
      <t>コハン</t>
    </rPh>
    <rPh sb="4" eb="6">
      <t>セイジャク</t>
    </rPh>
    <rPh sb="8" eb="10">
      <t>ニシナ</t>
    </rPh>
    <rPh sb="10" eb="11">
      <t>サン</t>
    </rPh>
    <rPh sb="11" eb="12">
      <t>コ</t>
    </rPh>
    <rPh sb="12" eb="13">
      <t>チュウ</t>
    </rPh>
    <rPh sb="13" eb="15">
      <t>ズイイチ</t>
    </rPh>
    <rPh sb="19" eb="21">
      <t>ハクバ</t>
    </rPh>
    <rPh sb="21" eb="23">
      <t>サンザン</t>
    </rPh>
    <rPh sb="24" eb="26">
      <t>コンペキ</t>
    </rPh>
    <rPh sb="27" eb="29">
      <t>コメン</t>
    </rPh>
    <rPh sb="30" eb="31">
      <t>ウツ</t>
    </rPh>
    <rPh sb="36" eb="38">
      <t>コメン</t>
    </rPh>
    <rPh sb="39" eb="41">
      <t>コクナイ</t>
    </rPh>
    <rPh sb="41" eb="43">
      <t>ユウスウ</t>
    </rPh>
    <rPh sb="44" eb="47">
      <t>トウメイド</t>
    </rPh>
    <rPh sb="48" eb="49">
      <t>ホコ</t>
    </rPh>
    <rPh sb="51" eb="53">
      <t>コハン</t>
    </rPh>
    <rPh sb="55" eb="57">
      <t>サイコク</t>
    </rPh>
    <rPh sb="57" eb="59">
      <t>サンジュウ</t>
    </rPh>
    <rPh sb="59" eb="60">
      <t>サン</t>
    </rPh>
    <rPh sb="60" eb="61">
      <t>バン</t>
    </rPh>
    <rPh sb="62" eb="64">
      <t>カンノン</t>
    </rPh>
    <rPh sb="64" eb="66">
      <t>セキブツ</t>
    </rPh>
    <rPh sb="71" eb="73">
      <t>チクニ</t>
    </rPh>
    <rPh sb="73" eb="75">
      <t>カイドウ</t>
    </rPh>
    <rPh sb="76" eb="78">
      <t>オモカゲ</t>
    </rPh>
    <rPh sb="79" eb="80">
      <t>ノコ</t>
    </rPh>
    <rPh sb="93" eb="94">
      <t>サン</t>
    </rPh>
    <rPh sb="94" eb="95">
      <t>サク</t>
    </rPh>
    <rPh sb="97" eb="99">
      <t>サイテキ</t>
    </rPh>
    <rPh sb="139" eb="141">
      <t>カンショウ</t>
    </rPh>
    <rPh sb="148" eb="149">
      <t>オコナ</t>
    </rPh>
    <rPh sb="157" eb="160">
      <t>オオイトセン</t>
    </rPh>
    <rPh sb="160" eb="163">
      <t>ヤナバエキ</t>
    </rPh>
    <rPh sb="165" eb="167">
      <t>トホ</t>
    </rPh>
    <rPh sb="169" eb="170">
      <t>フン</t>
    </rPh>
    <phoneticPr fontId="5"/>
  </si>
  <si>
    <t>HAKUBA VALLEY
鹿島槍
スポーツ
ヴィレッジ
(鹿島槍スキー場)
78.0ha</t>
    <rPh sb="14" eb="15">
      <t>シカ</t>
    </rPh>
    <rPh sb="15" eb="16">
      <t>シマ</t>
    </rPh>
    <rPh sb="16" eb="17">
      <t>ヤリ</t>
    </rPh>
    <rPh sb="30" eb="32">
      <t>カシマ</t>
    </rPh>
    <rPh sb="32" eb="33">
      <t>ヤリ</t>
    </rPh>
    <rPh sb="36" eb="37">
      <t>ジョウ</t>
    </rPh>
    <phoneticPr fontId="5"/>
  </si>
  <si>
    <t>　眼前に鹿島槍、爺ヶ岳の勇姿が迫る眺望雄大なスキー場。晴天には遠く浅間、妙高の諸連峰が望め、積雪量豊富で広大なゲレンデで子供から大人まで楽しめる。
　ふもとの民宿からリフトの便もあり、またナイタースキーも楽しめる。夏場もネイチャーツアーやバーベキュー、星空観察など様々な体験が可能。
　大糸線簗場駅から徒歩15分。また、信濃大町駅から無料シャトルバス40分。</t>
    <rPh sb="1" eb="3">
      <t>ガンゼン</t>
    </rPh>
    <rPh sb="4" eb="6">
      <t>カシマ</t>
    </rPh>
    <rPh sb="6" eb="7">
      <t>ヤリ</t>
    </rPh>
    <rPh sb="8" eb="9">
      <t>ジイ</t>
    </rPh>
    <rPh sb="10" eb="11">
      <t>タケ</t>
    </rPh>
    <rPh sb="12" eb="14">
      <t>ユウシ</t>
    </rPh>
    <rPh sb="15" eb="16">
      <t>セマ</t>
    </rPh>
    <rPh sb="17" eb="19">
      <t>チョウボウ</t>
    </rPh>
    <rPh sb="19" eb="21">
      <t>ユウダイ</t>
    </rPh>
    <rPh sb="25" eb="26">
      <t>ジョウ</t>
    </rPh>
    <rPh sb="27" eb="29">
      <t>セイテン</t>
    </rPh>
    <rPh sb="31" eb="32">
      <t>トオ</t>
    </rPh>
    <rPh sb="33" eb="35">
      <t>アサマ</t>
    </rPh>
    <rPh sb="36" eb="38">
      <t>ミョウコウ</t>
    </rPh>
    <rPh sb="39" eb="40">
      <t>ショ</t>
    </rPh>
    <rPh sb="40" eb="42">
      <t>レンポウ</t>
    </rPh>
    <rPh sb="43" eb="44">
      <t>ノゾ</t>
    </rPh>
    <rPh sb="46" eb="48">
      <t>セキセツ</t>
    </rPh>
    <rPh sb="48" eb="49">
      <t>リョウ</t>
    </rPh>
    <rPh sb="49" eb="51">
      <t>ホウフ</t>
    </rPh>
    <rPh sb="52" eb="54">
      <t>コウダイ</t>
    </rPh>
    <rPh sb="60" eb="62">
      <t>コドモ</t>
    </rPh>
    <rPh sb="64" eb="66">
      <t>オトナ</t>
    </rPh>
    <rPh sb="68" eb="69">
      <t>タノ</t>
    </rPh>
    <rPh sb="79" eb="81">
      <t>ミンシュク</t>
    </rPh>
    <rPh sb="87" eb="88">
      <t>ベン</t>
    </rPh>
    <rPh sb="102" eb="103">
      <t>タノ</t>
    </rPh>
    <rPh sb="143" eb="146">
      <t>オオイトセン</t>
    </rPh>
    <rPh sb="146" eb="148">
      <t>ヤナバ</t>
    </rPh>
    <rPh sb="148" eb="149">
      <t>エキ</t>
    </rPh>
    <rPh sb="151" eb="153">
      <t>トホ</t>
    </rPh>
    <rPh sb="155" eb="156">
      <t>フン</t>
    </rPh>
    <rPh sb="160" eb="165">
      <t>シナノオオマチエキ</t>
    </rPh>
    <rPh sb="167" eb="169">
      <t>ムリョウ</t>
    </rPh>
    <rPh sb="177" eb="178">
      <t>フン</t>
    </rPh>
    <phoneticPr fontId="5"/>
  </si>
  <si>
    <t>HAKUBA VALLEY
爺ガ岳スキー場
40.0ha</t>
    <rPh sb="14" eb="15">
      <t>ジイ</t>
    </rPh>
    <rPh sb="16" eb="17">
      <t>タケ</t>
    </rPh>
    <rPh sb="20" eb="21">
      <t>ジョウ</t>
    </rPh>
    <phoneticPr fontId="5"/>
  </si>
  <si>
    <t>葛温泉と
高瀬渓谷</t>
    <rPh sb="0" eb="1">
      <t>クズ</t>
    </rPh>
    <rPh sb="1" eb="2">
      <t>アツシ</t>
    </rPh>
    <rPh sb="2" eb="3">
      <t>イズミ</t>
    </rPh>
    <rPh sb="6" eb="7">
      <t>タカ</t>
    </rPh>
    <rPh sb="7" eb="8">
      <t>セ</t>
    </rPh>
    <rPh sb="8" eb="9">
      <t>タニ</t>
    </rPh>
    <rPh sb="9" eb="10">
      <t>タニ</t>
    </rPh>
    <phoneticPr fontId="5"/>
  </si>
  <si>
    <t>木崎湖温泉</t>
    <rPh sb="0" eb="2">
      <t>キザキ</t>
    </rPh>
    <rPh sb="2" eb="3">
      <t>コ</t>
    </rPh>
    <rPh sb="3" eb="5">
      <t>オンセン</t>
    </rPh>
    <phoneticPr fontId="5"/>
  </si>
  <si>
    <t>　葛温泉からの引湯で、湖畔の温泉として人気を呼んでいる。温泉の湯を使った温水プールも利用おできる。木崎湖を中心に四季のレジャーに最も恵まれており、交通の便もよいため四季を通じて若者や家族連れが憩う。
　大糸線信濃木崎駅から徒歩15分。</t>
    <rPh sb="1" eb="2">
      <t>クズ</t>
    </rPh>
    <rPh sb="2" eb="4">
      <t>オンセン</t>
    </rPh>
    <rPh sb="7" eb="8">
      <t>イン</t>
    </rPh>
    <rPh sb="8" eb="9">
      <t>トウ</t>
    </rPh>
    <rPh sb="11" eb="13">
      <t>コハン</t>
    </rPh>
    <rPh sb="14" eb="16">
      <t>オンセン</t>
    </rPh>
    <rPh sb="19" eb="21">
      <t>ニンキ</t>
    </rPh>
    <rPh sb="22" eb="23">
      <t>ヨ</t>
    </rPh>
    <rPh sb="28" eb="30">
      <t>オンセン</t>
    </rPh>
    <rPh sb="31" eb="32">
      <t>ユ</t>
    </rPh>
    <rPh sb="33" eb="34">
      <t>ツカ</t>
    </rPh>
    <rPh sb="36" eb="38">
      <t>オンスイ</t>
    </rPh>
    <rPh sb="42" eb="44">
      <t>リヨウ</t>
    </rPh>
    <rPh sb="49" eb="51">
      <t>キザキ</t>
    </rPh>
    <rPh sb="51" eb="52">
      <t>コ</t>
    </rPh>
    <rPh sb="53" eb="55">
      <t>チュウシン</t>
    </rPh>
    <rPh sb="56" eb="58">
      <t>シキ</t>
    </rPh>
    <rPh sb="64" eb="65">
      <t>モット</t>
    </rPh>
    <rPh sb="66" eb="67">
      <t>メグ</t>
    </rPh>
    <rPh sb="73" eb="75">
      <t>コウツウ</t>
    </rPh>
    <rPh sb="76" eb="77">
      <t>ビン</t>
    </rPh>
    <rPh sb="82" eb="84">
      <t>シキ</t>
    </rPh>
    <rPh sb="85" eb="86">
      <t>ツウ</t>
    </rPh>
    <rPh sb="91" eb="93">
      <t>カゾク</t>
    </rPh>
    <rPh sb="93" eb="94">
      <t>ヅ</t>
    </rPh>
    <rPh sb="96" eb="97">
      <t>イコ</t>
    </rPh>
    <rPh sb="101" eb="104">
      <t>オオイトセン</t>
    </rPh>
    <rPh sb="104" eb="109">
      <t>シナノキザキエキ</t>
    </rPh>
    <rPh sb="111" eb="113">
      <t>トホ</t>
    </rPh>
    <rPh sb="115" eb="116">
      <t>プン</t>
    </rPh>
    <phoneticPr fontId="5"/>
  </si>
  <si>
    <t>立山黒部
アルペン
ルート</t>
    <rPh sb="0" eb="1">
      <t>タテ</t>
    </rPh>
    <rPh sb="1" eb="2">
      <t>ヤマ</t>
    </rPh>
    <rPh sb="2" eb="3">
      <t>クロ</t>
    </rPh>
    <rPh sb="3" eb="4">
      <t>ブ</t>
    </rPh>
    <phoneticPr fontId="5"/>
  </si>
  <si>
    <t>　黒部渓谷に513億円の総工費と延1千万人の労働力、7年の歳月を要してつくられた、日本第一位の高さ186m、堤頂長492m、体積158万㎥のアーチ式ドーム越流型ダムで、黒部湖の総貯水量は約2億㎥。その迫力ある放水は見もの。
　大糸線信濃大町駅から路線バス40分。乗り換え関電トンネル電気バス16分。</t>
    <rPh sb="1" eb="3">
      <t>クロベ</t>
    </rPh>
    <rPh sb="3" eb="5">
      <t>ケイコク</t>
    </rPh>
    <rPh sb="9" eb="11">
      <t>オクエン</t>
    </rPh>
    <rPh sb="12" eb="15">
      <t>ソウコウヒ</t>
    </rPh>
    <rPh sb="16" eb="17">
      <t>ノ</t>
    </rPh>
    <rPh sb="18" eb="21">
      <t>センマンニン</t>
    </rPh>
    <rPh sb="22" eb="25">
      <t>ロウドウリョク</t>
    </rPh>
    <rPh sb="27" eb="28">
      <t>ネン</t>
    </rPh>
    <rPh sb="29" eb="31">
      <t>サイゲツ</t>
    </rPh>
    <rPh sb="32" eb="33">
      <t>ヨウ</t>
    </rPh>
    <rPh sb="47" eb="48">
      <t>タカ</t>
    </rPh>
    <rPh sb="54" eb="55">
      <t>ツツミ</t>
    </rPh>
    <rPh sb="55" eb="56">
      <t>チョウ</t>
    </rPh>
    <rPh sb="56" eb="57">
      <t>ナガ</t>
    </rPh>
    <rPh sb="62" eb="64">
      <t>タイセキ</t>
    </rPh>
    <rPh sb="67" eb="68">
      <t>マン</t>
    </rPh>
    <rPh sb="73" eb="74">
      <t>シキ</t>
    </rPh>
    <rPh sb="88" eb="89">
      <t>ソウ</t>
    </rPh>
    <rPh sb="89" eb="91">
      <t>チョスイ</t>
    </rPh>
    <rPh sb="91" eb="92">
      <t>リョウ</t>
    </rPh>
    <rPh sb="93" eb="94">
      <t>ヤク</t>
    </rPh>
    <rPh sb="95" eb="96">
      <t>オク</t>
    </rPh>
    <rPh sb="100" eb="102">
      <t>ハクリョク</t>
    </rPh>
    <rPh sb="104" eb="106">
      <t>ホウスイ</t>
    </rPh>
    <rPh sb="107" eb="108">
      <t>ミ</t>
    </rPh>
    <rPh sb="113" eb="116">
      <t>オオイトセン</t>
    </rPh>
    <rPh sb="116" eb="121">
      <t>シナノオオマチエキ</t>
    </rPh>
    <rPh sb="123" eb="125">
      <t>ロセン</t>
    </rPh>
    <rPh sb="129" eb="130">
      <t>フン</t>
    </rPh>
    <rPh sb="131" eb="132">
      <t>ノ</t>
    </rPh>
    <rPh sb="133" eb="134">
      <t>カ</t>
    </rPh>
    <rPh sb="135" eb="137">
      <t>カンデン</t>
    </rPh>
    <rPh sb="141" eb="143">
      <t>デンキ</t>
    </rPh>
    <rPh sb="147" eb="148">
      <t>フン</t>
    </rPh>
    <phoneticPr fontId="5"/>
  </si>
  <si>
    <t>市立大町山岳
博物館</t>
    <rPh sb="0" eb="2">
      <t>シリツ</t>
    </rPh>
    <rPh sb="2" eb="4">
      <t>オオマチ</t>
    </rPh>
    <rPh sb="4" eb="6">
      <t>サンガク</t>
    </rPh>
    <rPh sb="8" eb="9">
      <t>ヒロシ</t>
    </rPh>
    <rPh sb="9" eb="10">
      <t>モノ</t>
    </rPh>
    <rPh sb="10" eb="11">
      <t>カン</t>
    </rPh>
    <phoneticPr fontId="5"/>
  </si>
  <si>
    <t>　昭和26年、公民館青年部の熱意と市民の積極的な援助により創設された、日本初の山岳博物館。
　展望室からは北アルプスの雄大な眺めを満喫できるほか、山と芸術・黎明期から近代までの登山史・里山から高山までの動物や植物を紹介している。またコマクサ園では高山植物に、付属園では特別天然記念物のカモシカのほか北アルプスとその山ろくに生息する動物たちにも出会える。
　大糸線信濃大町駅からタクシー5分。</t>
    <rPh sb="96" eb="98">
      <t>コウザン</t>
    </rPh>
    <rPh sb="101" eb="103">
      <t>ドウブツ</t>
    </rPh>
    <rPh sb="104" eb="106">
      <t>ショクブツ</t>
    </rPh>
    <rPh sb="107" eb="109">
      <t>ショウカイ</t>
    </rPh>
    <rPh sb="120" eb="121">
      <t>エン</t>
    </rPh>
    <rPh sb="123" eb="125">
      <t>コウザン</t>
    </rPh>
    <rPh sb="125" eb="127">
      <t>ショクブツ</t>
    </rPh>
    <rPh sb="129" eb="131">
      <t>フゾク</t>
    </rPh>
    <rPh sb="131" eb="132">
      <t>エン</t>
    </rPh>
    <rPh sb="134" eb="136">
      <t>トクベツ</t>
    </rPh>
    <rPh sb="136" eb="138">
      <t>テンネン</t>
    </rPh>
    <rPh sb="138" eb="141">
      <t>キネンブツ</t>
    </rPh>
    <rPh sb="149" eb="150">
      <t>キタ</t>
    </rPh>
    <rPh sb="157" eb="158">
      <t>サン</t>
    </rPh>
    <rPh sb="161" eb="163">
      <t>セイソク</t>
    </rPh>
    <rPh sb="165" eb="167">
      <t>ドウブツ</t>
    </rPh>
    <rPh sb="171" eb="173">
      <t>デア</t>
    </rPh>
    <rPh sb="178" eb="181">
      <t>オオイトセン</t>
    </rPh>
    <rPh sb="181" eb="186">
      <t>シナノオオマチエキ</t>
    </rPh>
    <rPh sb="193" eb="194">
      <t>フン</t>
    </rPh>
    <phoneticPr fontId="5"/>
  </si>
  <si>
    <t>大町
エネルギー
博物館</t>
    <rPh sb="0" eb="1">
      <t>ダイ</t>
    </rPh>
    <rPh sb="1" eb="2">
      <t>マチ</t>
    </rPh>
    <rPh sb="9" eb="10">
      <t>ヒロシ</t>
    </rPh>
    <rPh sb="10" eb="11">
      <t>モノ</t>
    </rPh>
    <rPh sb="11" eb="12">
      <t>カン</t>
    </rPh>
    <phoneticPr fontId="5"/>
  </si>
  <si>
    <t>塩の道
ちょうじや
(旧塩の道博物館)</t>
    <rPh sb="0" eb="1">
      <t>シオ</t>
    </rPh>
    <rPh sb="2" eb="3">
      <t>ミチ</t>
    </rPh>
    <phoneticPr fontId="5"/>
  </si>
  <si>
    <t>　大町山岳博物館に通じる道路沿いの市街地にあり、塩問屋であった平林家の母屋を一般公開した博物館である。糸魚川から松本に至る海と内陸を結ぶ千国街道は塩の道と呼ばれ、当時の経済道路でありその中継場所であったこの建物は当時の面影をのこしており、貴重な古文書や生活用品が展示され往事をしのばせてくれる。
　大糸線信濃大町駅から徒歩10分。</t>
    <rPh sb="1" eb="3">
      <t>オオマチ</t>
    </rPh>
    <rPh sb="3" eb="5">
      <t>サンガク</t>
    </rPh>
    <rPh sb="5" eb="8">
      <t>ハクブツカン</t>
    </rPh>
    <rPh sb="9" eb="10">
      <t>ツウ</t>
    </rPh>
    <rPh sb="12" eb="14">
      <t>ドウロ</t>
    </rPh>
    <rPh sb="14" eb="15">
      <t>ゾ</t>
    </rPh>
    <rPh sb="17" eb="20">
      <t>シガイチ</t>
    </rPh>
    <rPh sb="24" eb="25">
      <t>シオ</t>
    </rPh>
    <rPh sb="25" eb="27">
      <t>ドンヤ</t>
    </rPh>
    <rPh sb="31" eb="33">
      <t>ヒラバヤシ</t>
    </rPh>
    <rPh sb="33" eb="34">
      <t>ケ</t>
    </rPh>
    <rPh sb="35" eb="37">
      <t>オモヤ</t>
    </rPh>
    <rPh sb="38" eb="40">
      <t>イッパン</t>
    </rPh>
    <rPh sb="40" eb="42">
      <t>コウカイ</t>
    </rPh>
    <rPh sb="44" eb="47">
      <t>ハクブツカン</t>
    </rPh>
    <rPh sb="51" eb="54">
      <t>イトイガワ</t>
    </rPh>
    <rPh sb="56" eb="58">
      <t>マツモト</t>
    </rPh>
    <rPh sb="59" eb="60">
      <t>イタ</t>
    </rPh>
    <rPh sb="61" eb="62">
      <t>ウミ</t>
    </rPh>
    <rPh sb="63" eb="65">
      <t>ナイリク</t>
    </rPh>
    <rPh sb="66" eb="67">
      <t>ムス</t>
    </rPh>
    <rPh sb="68" eb="70">
      <t>チクニ</t>
    </rPh>
    <rPh sb="70" eb="72">
      <t>カイドウ</t>
    </rPh>
    <rPh sb="73" eb="74">
      <t>シオ</t>
    </rPh>
    <rPh sb="75" eb="76">
      <t>ミチ</t>
    </rPh>
    <rPh sb="77" eb="78">
      <t>ヨ</t>
    </rPh>
    <rPh sb="81" eb="83">
      <t>トウジ</t>
    </rPh>
    <rPh sb="84" eb="86">
      <t>ケイザイ</t>
    </rPh>
    <rPh sb="86" eb="88">
      <t>ドウロ</t>
    </rPh>
    <rPh sb="93" eb="95">
      <t>チュウケイ</t>
    </rPh>
    <rPh sb="95" eb="97">
      <t>バショ</t>
    </rPh>
    <rPh sb="103" eb="105">
      <t>タテモノ</t>
    </rPh>
    <rPh sb="106" eb="108">
      <t>トウジ</t>
    </rPh>
    <rPh sb="109" eb="111">
      <t>オモカゲ</t>
    </rPh>
    <rPh sb="119" eb="121">
      <t>キチョウ</t>
    </rPh>
    <rPh sb="122" eb="123">
      <t>コ</t>
    </rPh>
    <rPh sb="123" eb="125">
      <t>ブンショ</t>
    </rPh>
    <rPh sb="126" eb="128">
      <t>セイカツ</t>
    </rPh>
    <rPh sb="128" eb="130">
      <t>ヨウヒン</t>
    </rPh>
    <rPh sb="131" eb="133">
      <t>テンジ</t>
    </rPh>
    <rPh sb="149" eb="152">
      <t>オオイトセン</t>
    </rPh>
    <rPh sb="152" eb="157">
      <t>シナノオオマチエキ</t>
    </rPh>
    <rPh sb="159" eb="161">
      <t>トホ</t>
    </rPh>
    <rPh sb="163" eb="164">
      <t>フン</t>
    </rPh>
    <phoneticPr fontId="5"/>
  </si>
  <si>
    <t>流鏑馬会館</t>
    <rPh sb="0" eb="3">
      <t>ヤブサメ</t>
    </rPh>
    <rPh sb="3" eb="5">
      <t>カイカン</t>
    </rPh>
    <phoneticPr fontId="5"/>
  </si>
  <si>
    <t>　大町の流鏑馬と若一王子神社例大祭に関する資料を展示。塩の道ちょうじやに併設。
　大糸線信濃大町駅から徒歩10分。</t>
    <rPh sb="1" eb="3">
      <t>オオマチ</t>
    </rPh>
    <rPh sb="4" eb="7">
      <t>ヤブサメ</t>
    </rPh>
    <rPh sb="8" eb="9">
      <t>ワカ</t>
    </rPh>
    <rPh sb="9" eb="10">
      <t>イチ</t>
    </rPh>
    <rPh sb="10" eb="12">
      <t>オウジ</t>
    </rPh>
    <rPh sb="12" eb="14">
      <t>ジンジャ</t>
    </rPh>
    <rPh sb="14" eb="17">
      <t>レイタイサイ</t>
    </rPh>
    <rPh sb="18" eb="19">
      <t>カン</t>
    </rPh>
    <rPh sb="21" eb="23">
      <t>シリョウ</t>
    </rPh>
    <rPh sb="24" eb="26">
      <t>テンジ</t>
    </rPh>
    <rPh sb="27" eb="28">
      <t>シオ</t>
    </rPh>
    <rPh sb="29" eb="30">
      <t>ミチ</t>
    </rPh>
    <rPh sb="36" eb="38">
      <t>ヘイセツ</t>
    </rPh>
    <rPh sb="41" eb="44">
      <t>オオイトセン</t>
    </rPh>
    <rPh sb="44" eb="49">
      <t>シナノオオマチエキ</t>
    </rPh>
    <rPh sb="51" eb="53">
      <t>トホ</t>
    </rPh>
    <rPh sb="55" eb="56">
      <t>フン</t>
    </rPh>
    <phoneticPr fontId="5"/>
  </si>
  <si>
    <t>アルプス温泉
博物館</t>
    <rPh sb="4" eb="6">
      <t>オンセン</t>
    </rPh>
    <rPh sb="8" eb="9">
      <t>ヒロシ</t>
    </rPh>
    <rPh sb="9" eb="10">
      <t>モノ</t>
    </rPh>
    <rPh sb="10" eb="11">
      <t>カン</t>
    </rPh>
    <phoneticPr fontId="5"/>
  </si>
  <si>
    <t>　温泉を様々な角度より見て、触れて、知ることのできる博物館。温泉の誕生から入浴法、効能などわかりやすく紹介している。湯けむり屋敷薬師の湯に併設。
　大糸線信濃大町駅から路線バス13分。</t>
    <rPh sb="1" eb="3">
      <t>オンセン</t>
    </rPh>
    <rPh sb="4" eb="6">
      <t>サマザマ</t>
    </rPh>
    <rPh sb="7" eb="9">
      <t>カクド</t>
    </rPh>
    <rPh sb="11" eb="12">
      <t>ミ</t>
    </rPh>
    <rPh sb="14" eb="15">
      <t>フ</t>
    </rPh>
    <rPh sb="18" eb="19">
      <t>シ</t>
    </rPh>
    <rPh sb="26" eb="29">
      <t>ハクブツカン</t>
    </rPh>
    <rPh sb="30" eb="32">
      <t>オンセン</t>
    </rPh>
    <rPh sb="33" eb="35">
      <t>タンジョウ</t>
    </rPh>
    <rPh sb="37" eb="40">
      <t>ニュウヨクホウ</t>
    </rPh>
    <rPh sb="41" eb="43">
      <t>コウノウ</t>
    </rPh>
    <rPh sb="51" eb="53">
      <t>ショウカイ</t>
    </rPh>
    <phoneticPr fontId="5"/>
  </si>
  <si>
    <t>大町市民俗
資料館</t>
    <rPh sb="0" eb="2">
      <t>オオマチ</t>
    </rPh>
    <rPh sb="2" eb="3">
      <t>シ</t>
    </rPh>
    <rPh sb="3" eb="5">
      <t>ミンゾク</t>
    </rPh>
    <rPh sb="7" eb="8">
      <t>シ</t>
    </rPh>
    <rPh sb="8" eb="9">
      <t>リョウ</t>
    </rPh>
    <rPh sb="9" eb="10">
      <t>カン</t>
    </rPh>
    <phoneticPr fontId="5"/>
  </si>
  <si>
    <t>劇団四季
浅利慶太
記念館</t>
    <rPh sb="0" eb="4">
      <t>ゲキダンシキ</t>
    </rPh>
    <rPh sb="5" eb="7">
      <t>アサリ</t>
    </rPh>
    <rPh sb="7" eb="9">
      <t>ケイタ</t>
    </rPh>
    <rPh sb="10" eb="12">
      <t>キネン</t>
    </rPh>
    <rPh sb="12" eb="13">
      <t>カン</t>
    </rPh>
    <phoneticPr fontId="5"/>
  </si>
  <si>
    <t>アルプス
搗精工場</t>
    <rPh sb="6" eb="7">
      <t>ツ</t>
    </rPh>
    <rPh sb="7" eb="8">
      <t>セイ</t>
    </rPh>
    <rPh sb="8" eb="9">
      <t>タクミ</t>
    </rPh>
    <rPh sb="9" eb="10">
      <t>バ</t>
    </rPh>
    <phoneticPr fontId="5"/>
  </si>
  <si>
    <t>　日本最大規模の酒造搗精工場。近代設備と最先端コンピュータ管理により、酒造米を精白し高品質純度の生産が可能。長野県の酒約97種の展示と試飲コーナーがあり、販売も行っている。
　大糸線信濃大町駅からタクシー10分。</t>
    <rPh sb="1" eb="3">
      <t>ニホン</t>
    </rPh>
    <rPh sb="3" eb="5">
      <t>サイダイ</t>
    </rPh>
    <rPh sb="5" eb="7">
      <t>キボ</t>
    </rPh>
    <rPh sb="8" eb="10">
      <t>シュゾウ</t>
    </rPh>
    <rPh sb="10" eb="11">
      <t>ツ</t>
    </rPh>
    <rPh sb="11" eb="12">
      <t>セイ</t>
    </rPh>
    <rPh sb="12" eb="14">
      <t>コウジョウ</t>
    </rPh>
    <rPh sb="15" eb="17">
      <t>キンダイ</t>
    </rPh>
    <rPh sb="17" eb="19">
      <t>セツビ</t>
    </rPh>
    <rPh sb="20" eb="23">
      <t>サイセンタン</t>
    </rPh>
    <rPh sb="29" eb="31">
      <t>カンリ</t>
    </rPh>
    <rPh sb="35" eb="37">
      <t>シュゾウ</t>
    </rPh>
    <rPh sb="37" eb="38">
      <t>マイ</t>
    </rPh>
    <rPh sb="39" eb="41">
      <t>セイハク</t>
    </rPh>
    <phoneticPr fontId="5"/>
  </si>
  <si>
    <t>ゆ～ぷる木崎湖</t>
    <rPh sb="4" eb="6">
      <t>キザキ</t>
    </rPh>
    <rPh sb="6" eb="7">
      <t>コ</t>
    </rPh>
    <phoneticPr fontId="5"/>
  </si>
  <si>
    <t>　25m温水プール、ウォータースライダー、子どもウォータープレイプールを備えたプール棟、大浴場、露天風呂、サウナ、ジャグジーを備えた温泉棟などがある。
　大糸線信濃木崎駅から徒歩10分。</t>
    <rPh sb="4" eb="6">
      <t>オンスイ</t>
    </rPh>
    <rPh sb="21" eb="22">
      <t>コ</t>
    </rPh>
    <rPh sb="36" eb="37">
      <t>ソナ</t>
    </rPh>
    <rPh sb="42" eb="43">
      <t>トウ</t>
    </rPh>
    <rPh sb="48" eb="49">
      <t>ロ</t>
    </rPh>
    <rPh sb="49" eb="50">
      <t>テン</t>
    </rPh>
    <rPh sb="50" eb="52">
      <t>ブロ</t>
    </rPh>
    <rPh sb="63" eb="64">
      <t>ソナ</t>
    </rPh>
    <rPh sb="66" eb="68">
      <t>オンセン</t>
    </rPh>
    <rPh sb="68" eb="69">
      <t>トウ</t>
    </rPh>
    <rPh sb="77" eb="80">
      <t>オオイトセン</t>
    </rPh>
    <rPh sb="80" eb="84">
      <t>シナノキザキ</t>
    </rPh>
    <rPh sb="84" eb="85">
      <t>エキ</t>
    </rPh>
    <rPh sb="87" eb="89">
      <t>トホ</t>
    </rPh>
    <rPh sb="91" eb="92">
      <t>フン</t>
    </rPh>
    <phoneticPr fontId="5"/>
  </si>
  <si>
    <t>大町ダム情報館</t>
    <rPh sb="0" eb="2">
      <t>オオマチ</t>
    </rPh>
    <rPh sb="4" eb="6">
      <t>ジョウホウ</t>
    </rPh>
    <rPh sb="6" eb="7">
      <t>カン</t>
    </rPh>
    <phoneticPr fontId="5"/>
  </si>
  <si>
    <t>　大町ダムの役割や周辺の自然環境について、パネルやパソコンで分かりやすく解説している。また龍神湖散策コースや地域のイベントなど、多くの周辺情報を提供している。
　大糸線信濃大町駅からタクシー20分。</t>
    <rPh sb="1" eb="3">
      <t>オオマチ</t>
    </rPh>
    <rPh sb="6" eb="8">
      <t>ヤクワリ</t>
    </rPh>
    <rPh sb="9" eb="11">
      <t>シュウヘン</t>
    </rPh>
    <rPh sb="12" eb="14">
      <t>シゼン</t>
    </rPh>
    <rPh sb="14" eb="16">
      <t>カンキョウ</t>
    </rPh>
    <rPh sb="30" eb="31">
      <t>ワ</t>
    </rPh>
    <rPh sb="36" eb="38">
      <t>カイセツ</t>
    </rPh>
    <rPh sb="45" eb="47">
      <t>リュウジン</t>
    </rPh>
    <rPh sb="47" eb="48">
      <t>コ</t>
    </rPh>
    <rPh sb="48" eb="50">
      <t>サンサク</t>
    </rPh>
    <rPh sb="54" eb="56">
      <t>チイキ</t>
    </rPh>
    <rPh sb="64" eb="65">
      <t>オオ</t>
    </rPh>
    <rPh sb="67" eb="69">
      <t>シュウヘン</t>
    </rPh>
    <rPh sb="69" eb="71">
      <t>ジョウホウ</t>
    </rPh>
    <rPh sb="72" eb="74">
      <t>テイキョウ</t>
    </rPh>
    <rPh sb="81" eb="84">
      <t>オオイトセン</t>
    </rPh>
    <rPh sb="84" eb="89">
      <t>シナノオオマチエキ</t>
    </rPh>
    <rPh sb="97" eb="98">
      <t>フン</t>
    </rPh>
    <phoneticPr fontId="5"/>
  </si>
  <si>
    <t>「ラ・カスタ」
ナチュラルヒーリングガーデン</t>
    <phoneticPr fontId="5"/>
  </si>
  <si>
    <t>西丸震哉記念館</t>
    <rPh sb="0" eb="1">
      <t>ニシ</t>
    </rPh>
    <rPh sb="1" eb="2">
      <t>マル</t>
    </rPh>
    <rPh sb="2" eb="3">
      <t>シン</t>
    </rPh>
    <rPh sb="3" eb="4">
      <t>ヤ</t>
    </rPh>
    <rPh sb="4" eb="6">
      <t>キネン</t>
    </rPh>
    <rPh sb="6" eb="7">
      <t>カン</t>
    </rPh>
    <phoneticPr fontId="5"/>
  </si>
  <si>
    <t>唐花見湿原</t>
    <rPh sb="0" eb="1">
      <t>カラ</t>
    </rPh>
    <rPh sb="1" eb="2">
      <t>ハナ</t>
    </rPh>
    <rPh sb="2" eb="3">
      <t>ミ</t>
    </rPh>
    <rPh sb="3" eb="5">
      <t>シツゲン</t>
    </rPh>
    <phoneticPr fontId="5"/>
  </si>
  <si>
    <t>明日香荘
金熊温泉</t>
    <rPh sb="0" eb="3">
      <t>アスカ</t>
    </rPh>
    <rPh sb="3" eb="4">
      <t>ソウ</t>
    </rPh>
    <rPh sb="5" eb="6">
      <t>カナ</t>
    </rPh>
    <rPh sb="6" eb="7">
      <t>クマ</t>
    </rPh>
    <rPh sb="7" eb="9">
      <t>オンセン</t>
    </rPh>
    <phoneticPr fontId="5"/>
  </si>
  <si>
    <t>新行高原</t>
    <rPh sb="0" eb="2">
      <t>シンユキ</t>
    </rPh>
    <rPh sb="2" eb="4">
      <t>コウゲン</t>
    </rPh>
    <phoneticPr fontId="5"/>
  </si>
  <si>
    <t>　美麻地区の西に位置し、標高900mの高原で夏でも涼しくすごしやすい。北アルプスの景観も素晴らしい。また、高原の気候に適したそばも栽培しており、信州のそばどころとして定着している。</t>
    <rPh sb="1" eb="3">
      <t>ミアサ</t>
    </rPh>
    <rPh sb="3" eb="5">
      <t>チク</t>
    </rPh>
    <rPh sb="6" eb="7">
      <t>ニシ</t>
    </rPh>
    <rPh sb="8" eb="10">
      <t>イチ</t>
    </rPh>
    <rPh sb="12" eb="14">
      <t>ヒョウコウ</t>
    </rPh>
    <rPh sb="19" eb="21">
      <t>コウゲン</t>
    </rPh>
    <rPh sb="22" eb="23">
      <t>ナツ</t>
    </rPh>
    <rPh sb="25" eb="26">
      <t>スズ</t>
    </rPh>
    <rPh sb="35" eb="36">
      <t>キタ</t>
    </rPh>
    <rPh sb="41" eb="43">
      <t>ケイカン</t>
    </rPh>
    <rPh sb="44" eb="46">
      <t>スバ</t>
    </rPh>
    <rPh sb="53" eb="55">
      <t>コウゲン</t>
    </rPh>
    <rPh sb="56" eb="58">
      <t>キコウ</t>
    </rPh>
    <rPh sb="59" eb="60">
      <t>テキ</t>
    </rPh>
    <rPh sb="65" eb="67">
      <t>サイバイ</t>
    </rPh>
    <rPh sb="72" eb="74">
      <t>シンシュウ</t>
    </rPh>
    <rPh sb="83" eb="85">
      <t>テイチャク</t>
    </rPh>
    <phoneticPr fontId="5"/>
  </si>
  <si>
    <t>ぽかぽかランド
美麻</t>
    <phoneticPr fontId="5"/>
  </si>
  <si>
    <t>国営アルプス
あづみの公園
(大町・松川地区)</t>
    <rPh sb="0" eb="2">
      <t>コクエイ</t>
    </rPh>
    <rPh sb="11" eb="13">
      <t>コウエン</t>
    </rPh>
    <rPh sb="15" eb="17">
      <t>オオマチ</t>
    </rPh>
    <rPh sb="18" eb="20">
      <t>マツカワ</t>
    </rPh>
    <rPh sb="20" eb="22">
      <t>チク</t>
    </rPh>
    <phoneticPr fontId="5"/>
  </si>
  <si>
    <r>
      <t>木崎湖
1.413km</t>
    </r>
    <r>
      <rPr>
        <vertAlign val="superscript"/>
        <sz val="11"/>
        <rFont val="ＭＳ ゴシック"/>
        <family val="3"/>
        <charset val="128"/>
      </rPr>
      <t>2</t>
    </r>
    <rPh sb="0" eb="1">
      <t>キ</t>
    </rPh>
    <rPh sb="1" eb="2">
      <t>ザキ</t>
    </rPh>
    <rPh sb="2" eb="3">
      <t>コ</t>
    </rPh>
    <phoneticPr fontId="5"/>
  </si>
  <si>
    <r>
      <t>中綱湖
0.141km</t>
    </r>
    <r>
      <rPr>
        <vertAlign val="superscript"/>
        <sz val="11"/>
        <rFont val="ＭＳ ゴシック"/>
        <family val="3"/>
        <charset val="128"/>
      </rPr>
      <t>2</t>
    </r>
    <rPh sb="0" eb="1">
      <t>ナカ</t>
    </rPh>
    <rPh sb="1" eb="2">
      <t>ツナ</t>
    </rPh>
    <rPh sb="2" eb="3">
      <t>コ</t>
    </rPh>
    <phoneticPr fontId="5"/>
  </si>
  <si>
    <r>
      <t>青木湖
1.863km</t>
    </r>
    <r>
      <rPr>
        <vertAlign val="superscript"/>
        <sz val="11"/>
        <rFont val="ＭＳ ゴシック"/>
        <family val="3"/>
        <charset val="128"/>
      </rPr>
      <t>2</t>
    </r>
    <rPh sb="0" eb="1">
      <t>アオ</t>
    </rPh>
    <rPh sb="1" eb="2">
      <t>キ</t>
    </rPh>
    <rPh sb="2" eb="3">
      <t>コ</t>
    </rPh>
    <phoneticPr fontId="5"/>
  </si>
  <si>
    <t>　後立山連峰に抱かれた標高1,000mの高原で、良質な粉雪に恵まれたゲレンデを持つスキー場。
　スキー場ベース部分は広い緩斜面を持ち、初心者から中級者向けの練習バーンに最適。上部は林間コースとなっており、晴天時には安曇野も見渡せる。広さのあるちびっこゲレンデには現在ではとても珍しいトロイカがあり、子供たちに大変人気がある。
　大糸線信濃大町駅からタクシー15分、ふれあい号30分（平日運行）。</t>
    <rPh sb="1" eb="2">
      <t>ウシロ</t>
    </rPh>
    <rPh sb="2" eb="4">
      <t>タテヤマ</t>
    </rPh>
    <rPh sb="4" eb="6">
      <t>レンポウ</t>
    </rPh>
    <rPh sb="7" eb="8">
      <t>イダ</t>
    </rPh>
    <rPh sb="11" eb="13">
      <t>ヒョウコウ</t>
    </rPh>
    <rPh sb="20" eb="22">
      <t>コウゲン</t>
    </rPh>
    <rPh sb="24" eb="26">
      <t>リョウシツ</t>
    </rPh>
    <rPh sb="27" eb="29">
      <t>コナユキ</t>
    </rPh>
    <rPh sb="30" eb="31">
      <t>メグ</t>
    </rPh>
    <rPh sb="39" eb="40">
      <t>モ</t>
    </rPh>
    <rPh sb="44" eb="45">
      <t>ジョウ</t>
    </rPh>
    <rPh sb="87" eb="89">
      <t>ジョウブ</t>
    </rPh>
    <rPh sb="90" eb="92">
      <t>リンカン</t>
    </rPh>
    <rPh sb="102" eb="104">
      <t>セイテン</t>
    </rPh>
    <rPh sb="104" eb="105">
      <t>ジ</t>
    </rPh>
    <rPh sb="107" eb="110">
      <t>アズミノ</t>
    </rPh>
    <rPh sb="111" eb="113">
      <t>ミワタ</t>
    </rPh>
    <rPh sb="116" eb="117">
      <t>ヒロ</t>
    </rPh>
    <rPh sb="131" eb="133">
      <t>ゲンザイ</t>
    </rPh>
    <rPh sb="138" eb="139">
      <t>メズラ</t>
    </rPh>
    <rPh sb="149" eb="151">
      <t>コドモ</t>
    </rPh>
    <rPh sb="154" eb="156">
      <t>タイヘン</t>
    </rPh>
    <rPh sb="156" eb="158">
      <t>ニンキ</t>
    </rPh>
    <rPh sb="164" eb="167">
      <t>オオイトセン</t>
    </rPh>
    <rPh sb="167" eb="172">
      <t>シナノオオマチエキ</t>
    </rPh>
    <rPh sb="180" eb="181">
      <t>フン</t>
    </rPh>
    <rPh sb="186" eb="187">
      <t>ゴウ</t>
    </rPh>
    <rPh sb="189" eb="190">
      <t>フン</t>
    </rPh>
    <phoneticPr fontId="5"/>
  </si>
  <si>
    <t>　槍ケ岳に源を発する高瀬川が奇岩をつくり出し、独特の渓谷美をみせている。急峻な谷が新緑や紅葉に彩られ、白い花崗岩がコバルトブルー色の清水に映えて、すばらしい景観をつくりだしている。この渓谷に東京電力が高瀬、七倉の2つのロックフィルダムをつくった。高瀬ダムは高さが176mの日本有数の巨大ロックフィルダムで、霞ヶ関ビルの容積の約20倍、1,159万㎥、また七倉ダムは高さ125m、ダム体積738万㎥で、この2つのダム湖に映える四季おりおりの景観はすばらしい。
　また下流の大町ダム（国土交通省）には、ダムサイドの緑地公園があり、治山治水事業のモニュメントとして泉小太郎像がある。
　この渓谷のなかには葛温泉の3軒と、七倉温泉の1軒の温泉宿もある。この温泉は約300年前から開かれ、湯量も豊富で露天風呂もある渓谷のいで湯である。
　山菜や岩魚等季節の味覚こそ忘れ得ぬものがあり、槍ケ岳、三俣蓮華岳、烏帽子岳方面への登山基地でもある。4月中旬～11月下旬は特定タクシーが七倉～高瀬ダム間を走る。
　大糸線信濃大町駅から七倉までタクシー30分（冬期通行止め）。</t>
    <rPh sb="307" eb="309">
      <t>ナナクラ</t>
    </rPh>
    <rPh sb="309" eb="311">
      <t>オンセン</t>
    </rPh>
    <rPh sb="313" eb="314">
      <t>ケン</t>
    </rPh>
    <rPh sb="315" eb="318">
      <t>オンセンヤド</t>
    </rPh>
    <rPh sb="416" eb="418">
      <t>チュウジュン</t>
    </rPh>
    <rPh sb="422" eb="424">
      <t>ゲジュン</t>
    </rPh>
    <rPh sb="425" eb="427">
      <t>トクテイ</t>
    </rPh>
    <rPh sb="441" eb="442">
      <t>ハシ</t>
    </rPh>
    <rPh sb="456" eb="458">
      <t>ナナクラ</t>
    </rPh>
    <rPh sb="468" eb="470">
      <t>トウキ</t>
    </rPh>
    <rPh sb="470" eb="472">
      <t>ツウコウ</t>
    </rPh>
    <rPh sb="472" eb="473">
      <t>ド</t>
    </rPh>
    <phoneticPr fontId="5"/>
  </si>
  <si>
    <t>　昭和39年秋に大町アルペンライン沿いに建設された温泉郷である。後立山連峰の背景と鹿島川の流れ、白樺とカラマツの林にかこまれたこの温泉郷は黒部ダムをはじめ市内観光の際の宿泊先として人気がある。
　また、日帰り入浴が楽しめる施設や宿もある。
　大糸線信濃大町駅から路線バス13分。</t>
    <rPh sb="1" eb="3">
      <t>ショウワ</t>
    </rPh>
    <rPh sb="5" eb="6">
      <t>ネン</t>
    </rPh>
    <rPh sb="6" eb="7">
      <t>アキ</t>
    </rPh>
    <rPh sb="8" eb="10">
      <t>オオマチ</t>
    </rPh>
    <rPh sb="17" eb="18">
      <t>ゾ</t>
    </rPh>
    <rPh sb="20" eb="22">
      <t>ケンセツ</t>
    </rPh>
    <rPh sb="25" eb="28">
      <t>オンセンキョウ</t>
    </rPh>
    <rPh sb="32" eb="33">
      <t>ウシロ</t>
    </rPh>
    <rPh sb="33" eb="35">
      <t>タテヤマ</t>
    </rPh>
    <rPh sb="38" eb="40">
      <t>ハイケイ</t>
    </rPh>
    <rPh sb="41" eb="43">
      <t>カシマ</t>
    </rPh>
    <rPh sb="43" eb="44">
      <t>ガワ</t>
    </rPh>
    <rPh sb="45" eb="46">
      <t>ナガ</t>
    </rPh>
    <rPh sb="48" eb="50">
      <t>シラカバ</t>
    </rPh>
    <rPh sb="56" eb="57">
      <t>ハヤシ</t>
    </rPh>
    <rPh sb="65" eb="68">
      <t>オンセンキョウ</t>
    </rPh>
    <rPh sb="69" eb="71">
      <t>クロベ</t>
    </rPh>
    <rPh sb="77" eb="81">
      <t>シナイカンコウ</t>
    </rPh>
    <rPh sb="82" eb="83">
      <t>サイ</t>
    </rPh>
    <rPh sb="84" eb="87">
      <t>シュクハクサキ</t>
    </rPh>
    <rPh sb="121" eb="124">
      <t>オオイトセン</t>
    </rPh>
    <rPh sb="124" eb="128">
      <t>シナノオオマチ</t>
    </rPh>
    <rPh sb="128" eb="129">
      <t>エキ</t>
    </rPh>
    <rPh sb="131" eb="133">
      <t>ロセン</t>
    </rPh>
    <rPh sb="137" eb="138">
      <t>フン</t>
    </rPh>
    <phoneticPr fontId="5"/>
  </si>
  <si>
    <t>　世紀の難工事といわれ秘境黒部渓谷に誕生した黒部ダムをはじめ、北アルプスを貫いて大町と富山県立山とを結ぶアルペンルートは、日本の屋根であるアルプスの景観と黒部大渓谷をほしいままに観賞でき、我が国で他に類をみない国際的スケールの山岳大観光ルートである。
　観光期間4月15日～11月30日。大糸線信濃大町駅から路線バス40分（冬期通行止め）。</t>
    <rPh sb="1" eb="3">
      <t>セイキ</t>
    </rPh>
    <rPh sb="4" eb="5">
      <t>ナン</t>
    </rPh>
    <rPh sb="5" eb="7">
      <t>コウジ</t>
    </rPh>
    <rPh sb="11" eb="13">
      <t>ヒキョウ</t>
    </rPh>
    <rPh sb="13" eb="15">
      <t>クロベ</t>
    </rPh>
    <rPh sb="15" eb="17">
      <t>ケイコク</t>
    </rPh>
    <rPh sb="18" eb="20">
      <t>タンジョウ</t>
    </rPh>
    <rPh sb="22" eb="24">
      <t>クロベ</t>
    </rPh>
    <rPh sb="31" eb="32">
      <t>キタ</t>
    </rPh>
    <rPh sb="37" eb="38">
      <t>ツラヌ</t>
    </rPh>
    <rPh sb="40" eb="42">
      <t>ダイチョウ</t>
    </rPh>
    <rPh sb="45" eb="47">
      <t>ケンリツ</t>
    </rPh>
    <rPh sb="47" eb="48">
      <t>ヤマ</t>
    </rPh>
    <rPh sb="50" eb="51">
      <t>ムス</t>
    </rPh>
    <rPh sb="61" eb="63">
      <t>ニホン</t>
    </rPh>
    <rPh sb="64" eb="66">
      <t>ヤネ</t>
    </rPh>
    <rPh sb="74" eb="76">
      <t>ケイカン</t>
    </rPh>
    <rPh sb="77" eb="79">
      <t>クロベ</t>
    </rPh>
    <rPh sb="79" eb="80">
      <t>ダイ</t>
    </rPh>
    <rPh sb="80" eb="82">
      <t>ケイコク</t>
    </rPh>
    <rPh sb="94" eb="95">
      <t>ワ</t>
    </rPh>
    <rPh sb="96" eb="97">
      <t>クニ</t>
    </rPh>
    <rPh sb="98" eb="99">
      <t>タ</t>
    </rPh>
    <rPh sb="100" eb="101">
      <t>ルイ</t>
    </rPh>
    <rPh sb="105" eb="107">
      <t>コクサイ</t>
    </rPh>
    <rPh sb="107" eb="108">
      <t>テキ</t>
    </rPh>
    <rPh sb="113" eb="115">
      <t>サンガク</t>
    </rPh>
    <rPh sb="127" eb="129">
      <t>カンコウ</t>
    </rPh>
    <rPh sb="129" eb="131">
      <t>キカン</t>
    </rPh>
    <rPh sb="132" eb="133">
      <t>ガツ</t>
    </rPh>
    <rPh sb="135" eb="136">
      <t>ニチ</t>
    </rPh>
    <rPh sb="139" eb="140">
      <t>ガツ</t>
    </rPh>
    <rPh sb="142" eb="143">
      <t>ニチ</t>
    </rPh>
    <rPh sb="162" eb="164">
      <t>トウキ</t>
    </rPh>
    <rPh sb="164" eb="166">
      <t>ツウコウ</t>
    </rPh>
    <rPh sb="166" eb="167">
      <t>ド</t>
    </rPh>
    <phoneticPr fontId="5"/>
  </si>
  <si>
    <t>　エネルギーや科学の基礎について楽しみながら学べる博物館。
　土日祝祭日には、科学体験工作教室を開催（期間中は随時受付）。親子で一緒に工作にチャレンジするのに最適。
　大糸線信濃大町駅からタクシー20分。ふれあい号35分（平日運行）。</t>
    <rPh sb="7" eb="9">
      <t>カガク</t>
    </rPh>
    <rPh sb="10" eb="12">
      <t>キソ</t>
    </rPh>
    <rPh sb="16" eb="17">
      <t>タノ</t>
    </rPh>
    <rPh sb="22" eb="23">
      <t>マナ</t>
    </rPh>
    <rPh sb="25" eb="28">
      <t>ハクブツカン</t>
    </rPh>
    <rPh sb="31" eb="33">
      <t>ドニチ</t>
    </rPh>
    <rPh sb="33" eb="36">
      <t>シュクサイジツ</t>
    </rPh>
    <rPh sb="39" eb="41">
      <t>カガク</t>
    </rPh>
    <rPh sb="41" eb="43">
      <t>タイケン</t>
    </rPh>
    <rPh sb="43" eb="45">
      <t>コウサク</t>
    </rPh>
    <rPh sb="45" eb="47">
      <t>キョウシツ</t>
    </rPh>
    <rPh sb="48" eb="50">
      <t>カイサイ</t>
    </rPh>
    <rPh sb="51" eb="54">
      <t>キカンチュウ</t>
    </rPh>
    <rPh sb="55" eb="57">
      <t>ズイジ</t>
    </rPh>
    <rPh sb="57" eb="59">
      <t>ウケツケ</t>
    </rPh>
    <rPh sb="61" eb="63">
      <t>オヤコ</t>
    </rPh>
    <rPh sb="64" eb="66">
      <t>イッショ</t>
    </rPh>
    <rPh sb="67" eb="69">
      <t>コウサク</t>
    </rPh>
    <rPh sb="79" eb="81">
      <t>サイテキ</t>
    </rPh>
    <rPh sb="84" eb="87">
      <t>オオイトセン</t>
    </rPh>
    <rPh sb="87" eb="92">
      <t>シナノオオマチエキ</t>
    </rPh>
    <rPh sb="100" eb="101">
      <t>フン</t>
    </rPh>
    <rPh sb="106" eb="107">
      <t>ゴウ</t>
    </rPh>
    <rPh sb="109" eb="110">
      <t>フン</t>
    </rPh>
    <phoneticPr fontId="5"/>
  </si>
  <si>
    <t>　江戸時代から昭和30年代に入るまで社地区の主要産業として地域経済を支えてきた松崎和紙、および宮本和紙の資料や旧社小学校に所蔵されていた明治から現代に至る教科書等の資料、社地区で出土した、写経石などの考古資料、指定文化財の資料、紙すきの道具、各種節句人形などを展示、社公民館併設。
　大糸線信濃大町駅からタクシー5分。ふれあい号15分（平日運行）。</t>
    <rPh sb="1" eb="3">
      <t>エド</t>
    </rPh>
    <rPh sb="3" eb="5">
      <t>ジダイ</t>
    </rPh>
    <rPh sb="7" eb="9">
      <t>ショウワ</t>
    </rPh>
    <rPh sb="11" eb="13">
      <t>ネンダイ</t>
    </rPh>
    <rPh sb="14" eb="15">
      <t>ハイ</t>
    </rPh>
    <rPh sb="18" eb="19">
      <t>ヤシロ</t>
    </rPh>
    <rPh sb="19" eb="21">
      <t>チク</t>
    </rPh>
    <rPh sb="22" eb="24">
      <t>シュヨウ</t>
    </rPh>
    <rPh sb="24" eb="26">
      <t>サンギョウ</t>
    </rPh>
    <rPh sb="29" eb="31">
      <t>チイキ</t>
    </rPh>
    <rPh sb="31" eb="33">
      <t>ケイザイ</t>
    </rPh>
    <rPh sb="34" eb="35">
      <t>ササ</t>
    </rPh>
    <rPh sb="39" eb="40">
      <t>マツ</t>
    </rPh>
    <rPh sb="40" eb="41">
      <t>サキ</t>
    </rPh>
    <rPh sb="41" eb="43">
      <t>ワシ</t>
    </rPh>
    <rPh sb="47" eb="49">
      <t>ミヤモト</t>
    </rPh>
    <rPh sb="49" eb="51">
      <t>ワシ</t>
    </rPh>
    <rPh sb="52" eb="54">
      <t>シリョウ</t>
    </rPh>
    <rPh sb="55" eb="56">
      <t>キュウ</t>
    </rPh>
    <rPh sb="56" eb="57">
      <t>シャ</t>
    </rPh>
    <rPh sb="57" eb="60">
      <t>ショウガッコウ</t>
    </rPh>
    <rPh sb="61" eb="63">
      <t>ショゾウ</t>
    </rPh>
    <rPh sb="68" eb="70">
      <t>メイジ</t>
    </rPh>
    <rPh sb="72" eb="74">
      <t>ゲンダイ</t>
    </rPh>
    <rPh sb="75" eb="76">
      <t>イタ</t>
    </rPh>
    <rPh sb="77" eb="80">
      <t>キョウカショ</t>
    </rPh>
    <rPh sb="80" eb="81">
      <t>トウ</t>
    </rPh>
    <rPh sb="82" eb="84">
      <t>シリョウ</t>
    </rPh>
    <rPh sb="94" eb="95">
      <t>シャ</t>
    </rPh>
    <rPh sb="95" eb="96">
      <t>ケイ</t>
    </rPh>
    <rPh sb="96" eb="97">
      <t>イシ</t>
    </rPh>
    <rPh sb="100" eb="102">
      <t>コウコ</t>
    </rPh>
    <rPh sb="102" eb="104">
      <t>シリョウ</t>
    </rPh>
    <rPh sb="105" eb="107">
      <t>シテイ</t>
    </rPh>
    <rPh sb="107" eb="110">
      <t>ブンカザイ</t>
    </rPh>
    <rPh sb="111" eb="113">
      <t>シリョウ</t>
    </rPh>
    <rPh sb="114" eb="115">
      <t>カミ</t>
    </rPh>
    <rPh sb="118" eb="120">
      <t>ドウグ</t>
    </rPh>
    <rPh sb="121" eb="123">
      <t>カクシュ</t>
    </rPh>
    <rPh sb="123" eb="125">
      <t>セック</t>
    </rPh>
    <rPh sb="125" eb="127">
      <t>ニンギョウ</t>
    </rPh>
    <rPh sb="130" eb="132">
      <t>テンジ</t>
    </rPh>
    <rPh sb="133" eb="134">
      <t>シャ</t>
    </rPh>
    <rPh sb="134" eb="137">
      <t>コウミンカン</t>
    </rPh>
    <rPh sb="137" eb="139">
      <t>ヘイセツ</t>
    </rPh>
    <rPh sb="142" eb="145">
      <t>オオイトセン</t>
    </rPh>
    <rPh sb="145" eb="150">
      <t>シナノオオマチエキ</t>
    </rPh>
    <rPh sb="157" eb="158">
      <t>フン</t>
    </rPh>
    <rPh sb="163" eb="164">
      <t>ゴウ</t>
    </rPh>
    <rPh sb="166" eb="167">
      <t>フン</t>
    </rPh>
    <phoneticPr fontId="5"/>
  </si>
  <si>
    <t>　劇団四季創設以来のあゆみを、舞台模型、パネル写真、台本、記念資料、又、実際に舞台で使用した大・小道具、衣装等を展示紹介している。四季オリジナルグッズの販売コーナー有。
　大糸線信濃大町駅からタクシー15分。ふれあい号30分（平日運行）。</t>
    <rPh sb="1" eb="5">
      <t>ゲキダンシキ</t>
    </rPh>
    <rPh sb="5" eb="7">
      <t>ソウセツ</t>
    </rPh>
    <rPh sb="7" eb="9">
      <t>イライ</t>
    </rPh>
    <rPh sb="15" eb="17">
      <t>ブタイ</t>
    </rPh>
    <rPh sb="17" eb="19">
      <t>モケイ</t>
    </rPh>
    <rPh sb="23" eb="25">
      <t>シャシン</t>
    </rPh>
    <rPh sb="26" eb="28">
      <t>ダイホン</t>
    </rPh>
    <rPh sb="29" eb="31">
      <t>キネン</t>
    </rPh>
    <rPh sb="31" eb="33">
      <t>シリョウ</t>
    </rPh>
    <rPh sb="34" eb="35">
      <t>マタ</t>
    </rPh>
    <rPh sb="36" eb="38">
      <t>ジッサイ</t>
    </rPh>
    <rPh sb="39" eb="41">
      <t>ブタイ</t>
    </rPh>
    <rPh sb="42" eb="44">
      <t>シヨウ</t>
    </rPh>
    <rPh sb="46" eb="47">
      <t>ダイ</t>
    </rPh>
    <rPh sb="48" eb="51">
      <t>コドウグ</t>
    </rPh>
    <rPh sb="52" eb="54">
      <t>イショウ</t>
    </rPh>
    <rPh sb="54" eb="55">
      <t>トウ</t>
    </rPh>
    <rPh sb="56" eb="58">
      <t>テンジ</t>
    </rPh>
    <rPh sb="58" eb="60">
      <t>ショウカイ</t>
    </rPh>
    <rPh sb="65" eb="67">
      <t>シキ</t>
    </rPh>
    <rPh sb="76" eb="78">
      <t>ハンバイ</t>
    </rPh>
    <rPh sb="82" eb="83">
      <t>ア</t>
    </rPh>
    <rPh sb="86" eb="89">
      <t>オオイトセン</t>
    </rPh>
    <rPh sb="89" eb="94">
      <t>シナノオオマチエキ</t>
    </rPh>
    <rPh sb="102" eb="103">
      <t>フン</t>
    </rPh>
    <rPh sb="108" eb="109">
      <t>ゴウ</t>
    </rPh>
    <rPh sb="111" eb="112">
      <t>フン</t>
    </rPh>
    <phoneticPr fontId="5"/>
  </si>
  <si>
    <t>　人と自然のふれあいを通じて、心豊かで心地よいナチュラルライフスタイルを提案する“美と癒し”のヒーリングガーデン。アロマテラピーを応用した自分だけの香り製品をつくる香りの手作り体験工房も設置されている。
　大糸線安曇沓掛駅から徒歩10分</t>
    <rPh sb="1" eb="2">
      <t>ヒト</t>
    </rPh>
    <rPh sb="3" eb="5">
      <t>シゼン</t>
    </rPh>
    <rPh sb="11" eb="12">
      <t>ツウ</t>
    </rPh>
    <rPh sb="15" eb="16">
      <t>ココロ</t>
    </rPh>
    <rPh sb="16" eb="17">
      <t>ユタ</t>
    </rPh>
    <rPh sb="19" eb="21">
      <t>ココチ</t>
    </rPh>
    <rPh sb="36" eb="38">
      <t>テイアン</t>
    </rPh>
    <rPh sb="41" eb="42">
      <t>ビ</t>
    </rPh>
    <rPh sb="43" eb="44">
      <t>イヤ</t>
    </rPh>
    <rPh sb="65" eb="67">
      <t>オウヨウ</t>
    </rPh>
    <rPh sb="69" eb="71">
      <t>ジブン</t>
    </rPh>
    <rPh sb="74" eb="75">
      <t>カオ</t>
    </rPh>
    <rPh sb="76" eb="78">
      <t>セイヒン</t>
    </rPh>
    <rPh sb="82" eb="83">
      <t>カオ</t>
    </rPh>
    <rPh sb="85" eb="87">
      <t>テヅク</t>
    </rPh>
    <rPh sb="88" eb="90">
      <t>タイケン</t>
    </rPh>
    <rPh sb="90" eb="92">
      <t>コウボウ</t>
    </rPh>
    <rPh sb="93" eb="95">
      <t>セッチ</t>
    </rPh>
    <rPh sb="103" eb="106">
      <t>オオイトセン</t>
    </rPh>
    <rPh sb="106" eb="110">
      <t>アズミクツカケ</t>
    </rPh>
    <rPh sb="110" eb="111">
      <t>エキ</t>
    </rPh>
    <rPh sb="113" eb="115">
      <t>トホ</t>
    </rPh>
    <rPh sb="117" eb="118">
      <t>フン</t>
    </rPh>
    <phoneticPr fontId="5"/>
  </si>
  <si>
    <t>　木崎湖畔にたたずむギャラリー。日本の探検登山の草分け的存在といわれる西丸震哉氏のコレクションを美術家、杉原信幸氏の監修のもとに展示している。
　西丸氏の貴重な収集品と、その活動の足跡に触れることのできる記念館。
　大糸線稲尾駅から徒歩5分。</t>
    <rPh sb="1" eb="3">
      <t>キザキ</t>
    </rPh>
    <rPh sb="3" eb="5">
      <t>コハン</t>
    </rPh>
    <rPh sb="16" eb="18">
      <t>ニホン</t>
    </rPh>
    <rPh sb="19" eb="21">
      <t>タンケン</t>
    </rPh>
    <rPh sb="21" eb="23">
      <t>トザン</t>
    </rPh>
    <rPh sb="24" eb="26">
      <t>クサワ</t>
    </rPh>
    <rPh sb="27" eb="28">
      <t>テキ</t>
    </rPh>
    <rPh sb="28" eb="30">
      <t>ソンザイ</t>
    </rPh>
    <rPh sb="35" eb="36">
      <t>ニシ</t>
    </rPh>
    <rPh sb="36" eb="37">
      <t>マル</t>
    </rPh>
    <rPh sb="37" eb="38">
      <t>シン</t>
    </rPh>
    <rPh sb="38" eb="39">
      <t>ヤ</t>
    </rPh>
    <rPh sb="39" eb="40">
      <t>シ</t>
    </rPh>
    <rPh sb="48" eb="51">
      <t>ビジュツカ</t>
    </rPh>
    <rPh sb="52" eb="54">
      <t>スギハラ</t>
    </rPh>
    <rPh sb="54" eb="57">
      <t>ノブユキシ</t>
    </rPh>
    <rPh sb="58" eb="60">
      <t>カンシュウ</t>
    </rPh>
    <rPh sb="64" eb="66">
      <t>テンジ</t>
    </rPh>
    <rPh sb="73" eb="74">
      <t>ニシ</t>
    </rPh>
    <rPh sb="74" eb="75">
      <t>マル</t>
    </rPh>
    <rPh sb="75" eb="76">
      <t>シ</t>
    </rPh>
    <rPh sb="77" eb="79">
      <t>キチョウ</t>
    </rPh>
    <rPh sb="80" eb="82">
      <t>シュウシュウ</t>
    </rPh>
    <rPh sb="82" eb="83">
      <t>ヒン</t>
    </rPh>
    <rPh sb="87" eb="89">
      <t>カツドウ</t>
    </rPh>
    <rPh sb="90" eb="92">
      <t>アシアト</t>
    </rPh>
    <rPh sb="93" eb="94">
      <t>フ</t>
    </rPh>
    <rPh sb="102" eb="105">
      <t>キネンカン</t>
    </rPh>
    <rPh sb="108" eb="111">
      <t>オオイトセン</t>
    </rPh>
    <phoneticPr fontId="5"/>
  </si>
  <si>
    <t>　標高945mの山間に、周辺をカラマツ・アカマツ・杉などの針葉樹やコナラなどの雑木林と畑地で囲まれた低湿原。湿原に積もった泥炭は厚さ2.6m以上になり、8,000年あまりの歴史を持つといわれる。資源が乏しい時代には泥炭を掘り出して燃料にしたこともあった。
　掘跡はトンボなど水にすむ生き物の棲み家になっている。唐花見湿原の一番良い季節はミヤマウメモドキの実がなる頃。10月から見られる。晩秋から初冬にかけての静まり返った湿原の散歩がおすすめ。
　大糸線信濃大町駅からタクシー10分。ふれあい号10分（平日運行）。</t>
    <rPh sb="1" eb="3">
      <t>ヒョウコウ</t>
    </rPh>
    <rPh sb="8" eb="10">
      <t>ヤマアイ</t>
    </rPh>
    <rPh sb="12" eb="14">
      <t>シュウヘン</t>
    </rPh>
    <rPh sb="25" eb="26">
      <t>スギ</t>
    </rPh>
    <rPh sb="29" eb="32">
      <t>シンヨウジュ</t>
    </rPh>
    <rPh sb="39" eb="40">
      <t>ザツ</t>
    </rPh>
    <rPh sb="40" eb="41">
      <t>キ</t>
    </rPh>
    <rPh sb="41" eb="42">
      <t>リン</t>
    </rPh>
    <rPh sb="43" eb="44">
      <t>ハタ</t>
    </rPh>
    <rPh sb="44" eb="45">
      <t>チ</t>
    </rPh>
    <rPh sb="46" eb="47">
      <t>カコ</t>
    </rPh>
    <rPh sb="50" eb="51">
      <t>テイ</t>
    </rPh>
    <rPh sb="51" eb="53">
      <t>シツゲン</t>
    </rPh>
    <rPh sb="54" eb="56">
      <t>シツゲン</t>
    </rPh>
    <rPh sb="57" eb="58">
      <t>ツ</t>
    </rPh>
    <rPh sb="61" eb="62">
      <t>ドロ</t>
    </rPh>
    <rPh sb="62" eb="63">
      <t>スミ</t>
    </rPh>
    <rPh sb="64" eb="65">
      <t>アツ</t>
    </rPh>
    <rPh sb="70" eb="72">
      <t>イジョウ</t>
    </rPh>
    <rPh sb="81" eb="82">
      <t>ネン</t>
    </rPh>
    <rPh sb="86" eb="88">
      <t>レキシ</t>
    </rPh>
    <rPh sb="89" eb="90">
      <t>モ</t>
    </rPh>
    <rPh sb="97" eb="99">
      <t>シゲン</t>
    </rPh>
    <rPh sb="100" eb="101">
      <t>トボ</t>
    </rPh>
    <rPh sb="103" eb="105">
      <t>ジダイ</t>
    </rPh>
    <rPh sb="107" eb="109">
      <t>デイタン</t>
    </rPh>
    <rPh sb="110" eb="111">
      <t>ホ</t>
    </rPh>
    <rPh sb="112" eb="113">
      <t>ダ</t>
    </rPh>
    <rPh sb="115" eb="117">
      <t>ネンリョウ</t>
    </rPh>
    <rPh sb="129" eb="130">
      <t>ホ</t>
    </rPh>
    <rPh sb="130" eb="131">
      <t>アト</t>
    </rPh>
    <rPh sb="137" eb="138">
      <t>ミズ</t>
    </rPh>
    <rPh sb="141" eb="142">
      <t>イ</t>
    </rPh>
    <rPh sb="143" eb="144">
      <t>モノ</t>
    </rPh>
    <rPh sb="145" eb="146">
      <t>ス</t>
    </rPh>
    <rPh sb="147" eb="148">
      <t>イエ</t>
    </rPh>
    <rPh sb="155" eb="156">
      <t>カラ</t>
    </rPh>
    <rPh sb="156" eb="157">
      <t>ハナ</t>
    </rPh>
    <rPh sb="157" eb="158">
      <t>ミ</t>
    </rPh>
    <rPh sb="158" eb="160">
      <t>シツゲン</t>
    </rPh>
    <rPh sb="161" eb="163">
      <t>イチバン</t>
    </rPh>
    <rPh sb="163" eb="164">
      <t>ヨ</t>
    </rPh>
    <rPh sb="165" eb="167">
      <t>キセツ</t>
    </rPh>
    <rPh sb="177" eb="178">
      <t>ミ</t>
    </rPh>
    <rPh sb="181" eb="182">
      <t>コロ</t>
    </rPh>
    <rPh sb="185" eb="186">
      <t>ガツ</t>
    </rPh>
    <rPh sb="188" eb="189">
      <t>ミ</t>
    </rPh>
    <rPh sb="193" eb="195">
      <t>バンシュウ</t>
    </rPh>
    <rPh sb="197" eb="198">
      <t>ハツ</t>
    </rPh>
    <rPh sb="198" eb="199">
      <t>フユ</t>
    </rPh>
    <rPh sb="204" eb="205">
      <t>シズ</t>
    </rPh>
    <rPh sb="207" eb="208">
      <t>カエ</t>
    </rPh>
    <rPh sb="210" eb="212">
      <t>シツゲン</t>
    </rPh>
    <rPh sb="213" eb="215">
      <t>サンポ</t>
    </rPh>
    <rPh sb="223" eb="226">
      <t>オオイトセン</t>
    </rPh>
    <rPh sb="226" eb="231">
      <t>シナノオオマチエキ</t>
    </rPh>
    <rPh sb="239" eb="240">
      <t>フン</t>
    </rPh>
    <rPh sb="245" eb="246">
      <t>ゴウ</t>
    </rPh>
    <rPh sb="248" eb="249">
      <t>フン</t>
    </rPh>
    <phoneticPr fontId="5"/>
  </si>
  <si>
    <t>　豊かな自然に抱かれ湯量たっぷりのいで湯と山里のゆるやかな時の流れが味わえる金太郎乃湯「明日香荘」は温泉・宿泊・食事・宴会にも利用できる施設。八坂北部の山中から湧き出る「金熊温泉」。美人の湯とも言われるこの温泉の泉質は単純硫黄泉で、湯冷めせず保温効果が抜群。
古くからこの地に伝わる金太郎伝説にちなんで金熊温泉と名付けられた。
　大糸線信濃大町駅からタクシー15分。ふれあい号20分（平日運行）。</t>
    <rPh sb="1" eb="2">
      <t>ユタ</t>
    </rPh>
    <rPh sb="4" eb="6">
      <t>シゼン</t>
    </rPh>
    <rPh sb="7" eb="8">
      <t>イダ</t>
    </rPh>
    <rPh sb="10" eb="12">
      <t>ユリョウ</t>
    </rPh>
    <rPh sb="19" eb="20">
      <t>ユ</t>
    </rPh>
    <rPh sb="21" eb="22">
      <t>ヤマ</t>
    </rPh>
    <rPh sb="22" eb="23">
      <t>サト</t>
    </rPh>
    <rPh sb="29" eb="30">
      <t>トキ</t>
    </rPh>
    <rPh sb="31" eb="32">
      <t>ナガ</t>
    </rPh>
    <rPh sb="34" eb="35">
      <t>アジ</t>
    </rPh>
    <rPh sb="38" eb="41">
      <t>キンタロウ</t>
    </rPh>
    <rPh sb="41" eb="42">
      <t>ノ</t>
    </rPh>
    <rPh sb="42" eb="43">
      <t>ユ</t>
    </rPh>
    <rPh sb="44" eb="47">
      <t>アスカ</t>
    </rPh>
    <rPh sb="47" eb="48">
      <t>ソウ</t>
    </rPh>
    <rPh sb="50" eb="52">
      <t>オンセン</t>
    </rPh>
    <rPh sb="53" eb="55">
      <t>シュクハク</t>
    </rPh>
    <rPh sb="56" eb="58">
      <t>ショクジ</t>
    </rPh>
    <rPh sb="59" eb="61">
      <t>エンカイ</t>
    </rPh>
    <rPh sb="63" eb="65">
      <t>リヨウ</t>
    </rPh>
    <rPh sb="68" eb="70">
      <t>シセツ</t>
    </rPh>
    <rPh sb="71" eb="73">
      <t>ヤサカ</t>
    </rPh>
    <rPh sb="73" eb="75">
      <t>ホクブ</t>
    </rPh>
    <rPh sb="76" eb="77">
      <t>ヤマ</t>
    </rPh>
    <rPh sb="77" eb="78">
      <t>ナカ</t>
    </rPh>
    <rPh sb="80" eb="81">
      <t>ワ</t>
    </rPh>
    <rPh sb="82" eb="83">
      <t>デ</t>
    </rPh>
    <rPh sb="85" eb="86">
      <t>カナ</t>
    </rPh>
    <rPh sb="86" eb="87">
      <t>クマ</t>
    </rPh>
    <rPh sb="87" eb="89">
      <t>オンセン</t>
    </rPh>
    <rPh sb="91" eb="93">
      <t>ビジン</t>
    </rPh>
    <rPh sb="94" eb="95">
      <t>ユ</t>
    </rPh>
    <rPh sb="97" eb="98">
      <t>イ</t>
    </rPh>
    <rPh sb="103" eb="105">
      <t>オンセン</t>
    </rPh>
    <rPh sb="106" eb="107">
      <t>イズミ</t>
    </rPh>
    <rPh sb="107" eb="108">
      <t>シツ</t>
    </rPh>
    <rPh sb="109" eb="111">
      <t>タンジュン</t>
    </rPh>
    <rPh sb="111" eb="112">
      <t>リュウ</t>
    </rPh>
    <rPh sb="112" eb="114">
      <t>ヨミ</t>
    </rPh>
    <rPh sb="116" eb="118">
      <t>ユザ</t>
    </rPh>
    <rPh sb="121" eb="123">
      <t>ホオン</t>
    </rPh>
    <rPh sb="123" eb="125">
      <t>コウカ</t>
    </rPh>
    <rPh sb="126" eb="128">
      <t>バツグン</t>
    </rPh>
    <rPh sb="130" eb="131">
      <t>フル</t>
    </rPh>
    <rPh sb="136" eb="137">
      <t>チ</t>
    </rPh>
    <rPh sb="138" eb="139">
      <t>ツタ</t>
    </rPh>
    <rPh sb="141" eb="144">
      <t>キンタロウ</t>
    </rPh>
    <rPh sb="144" eb="146">
      <t>デンセツ</t>
    </rPh>
    <rPh sb="151" eb="153">
      <t>カナグマ</t>
    </rPh>
    <rPh sb="153" eb="155">
      <t>オンセン</t>
    </rPh>
    <rPh sb="156" eb="158">
      <t>ナヅ</t>
    </rPh>
    <rPh sb="165" eb="168">
      <t>オオイトセン</t>
    </rPh>
    <rPh sb="168" eb="173">
      <t>シナノオオマチエキ</t>
    </rPh>
    <rPh sb="181" eb="182">
      <t>フン</t>
    </rPh>
    <rPh sb="187" eb="188">
      <t>ゴウ</t>
    </rPh>
    <rPh sb="190" eb="191">
      <t>フン</t>
    </rPh>
    <phoneticPr fontId="5"/>
  </si>
  <si>
    <t>　通称オリンピック道路(県道31号線)沿いに位置するぽかぽかランド美麻は温泉・宿泊・食事・宴会にも利用できる施設。黒部ダム、安曇野、白馬村、長野市へのアクセスも容易にでき、アクティブな旅の拠点として利用可能。
　大糸線信濃大町駅から特急バス22分。ふれあい号40分（平日運行）。</t>
    <rPh sb="54" eb="56">
      <t>シセツ</t>
    </rPh>
    <rPh sb="106" eb="109">
      <t>オオイトセン</t>
    </rPh>
    <rPh sb="109" eb="114">
      <t>シナノオオマチエキ</t>
    </rPh>
    <rPh sb="116" eb="118">
      <t>トッキュウ</t>
    </rPh>
    <rPh sb="122" eb="123">
      <t>フン</t>
    </rPh>
    <rPh sb="128" eb="129">
      <t>ゴウ</t>
    </rPh>
    <rPh sb="131" eb="132">
      <t>フン</t>
    </rPh>
    <phoneticPr fontId="5"/>
  </si>
  <si>
    <t>　広大な自然環境を満喫しながら、様々な遊び体験や森の癒しを体感することができる国営公園。大町・松川地区では、森の散策体験のほか園内の素材を活用したクラフト体験や、灰焼きおやきなどの体験に参加できる。
　大糸線信濃大町駅からタクシー20分。</t>
    <rPh sb="1" eb="3">
      <t>コウダイ</t>
    </rPh>
    <rPh sb="4" eb="6">
      <t>シゼン</t>
    </rPh>
    <rPh sb="6" eb="8">
      <t>カンキョウ</t>
    </rPh>
    <rPh sb="9" eb="11">
      <t>マンキツ</t>
    </rPh>
    <rPh sb="16" eb="18">
      <t>サマザマ</t>
    </rPh>
    <rPh sb="19" eb="20">
      <t>アソ</t>
    </rPh>
    <rPh sb="21" eb="23">
      <t>タイケン</t>
    </rPh>
    <rPh sb="24" eb="25">
      <t>モリ</t>
    </rPh>
    <rPh sb="26" eb="27">
      <t>イヤ</t>
    </rPh>
    <rPh sb="29" eb="31">
      <t>タイカン</t>
    </rPh>
    <rPh sb="39" eb="41">
      <t>コクエイ</t>
    </rPh>
    <rPh sb="41" eb="43">
      <t>コウエン</t>
    </rPh>
    <rPh sb="44" eb="46">
      <t>オオマチ</t>
    </rPh>
    <rPh sb="47" eb="49">
      <t>マツカワ</t>
    </rPh>
    <rPh sb="49" eb="51">
      <t>チク</t>
    </rPh>
    <rPh sb="54" eb="55">
      <t>モリ</t>
    </rPh>
    <rPh sb="56" eb="58">
      <t>サンサク</t>
    </rPh>
    <rPh sb="58" eb="60">
      <t>タイケン</t>
    </rPh>
    <rPh sb="63" eb="65">
      <t>エンナイ</t>
    </rPh>
    <rPh sb="66" eb="68">
      <t>ソザイ</t>
    </rPh>
    <rPh sb="69" eb="71">
      <t>カツヨウ</t>
    </rPh>
    <rPh sb="77" eb="79">
      <t>タイケン</t>
    </rPh>
    <rPh sb="81" eb="82">
      <t>ハイ</t>
    </rPh>
    <rPh sb="82" eb="83">
      <t>ヤ</t>
    </rPh>
    <rPh sb="90" eb="92">
      <t>タイケン</t>
    </rPh>
    <rPh sb="93" eb="95">
      <t>サンカ</t>
    </rPh>
    <rPh sb="101" eb="104">
      <t>オオイトセン</t>
    </rPh>
    <rPh sb="104" eb="109">
      <t>シナノオオマチエキ</t>
    </rPh>
    <rPh sb="117" eb="118">
      <t>フン</t>
    </rPh>
    <phoneticPr fontId="5"/>
  </si>
  <si>
    <t>概　　　　　　　　　　　　　要</t>
    <rPh sb="0" eb="1">
      <t>オオムネ</t>
    </rPh>
    <rPh sb="14" eb="15">
      <t>ヨウ</t>
    </rPh>
    <phoneticPr fontId="5"/>
  </si>
  <si>
    <t>附属施設の利用状況</t>
    <rPh sb="0" eb="2">
      <t>フゾク</t>
    </rPh>
    <rPh sb="2" eb="4">
      <t>シセツ</t>
    </rPh>
    <rPh sb="5" eb="7">
      <t>リヨウ</t>
    </rPh>
    <rPh sb="7" eb="9">
      <t>ジョウキョウ</t>
    </rPh>
    <phoneticPr fontId="5"/>
  </si>
  <si>
    <t>文化会館</t>
    <rPh sb="0" eb="2">
      <t>ブンカ</t>
    </rPh>
    <rPh sb="2" eb="4">
      <t>カイカン</t>
    </rPh>
    <phoneticPr fontId="5"/>
  </si>
  <si>
    <t>コミュニティー     センター　(市民浴場)</t>
    <phoneticPr fontId="5"/>
  </si>
  <si>
    <t>扇    沢
総合案内
センター</t>
    <rPh sb="0" eb="1">
      <t>オオギ</t>
    </rPh>
    <rPh sb="5" eb="6">
      <t>サワ</t>
    </rPh>
    <rPh sb="7" eb="9">
      <t>ソウゴウ</t>
    </rPh>
    <rPh sb="9" eb="11">
      <t>アンナイ</t>
    </rPh>
    <phoneticPr fontId="5"/>
  </si>
  <si>
    <t>児童
センター</t>
    <rPh sb="0" eb="2">
      <t>ジドウ</t>
    </rPh>
    <phoneticPr fontId="5"/>
  </si>
  <si>
    <t>社会就労センター</t>
    <rPh sb="0" eb="1">
      <t>シャ</t>
    </rPh>
    <rPh sb="1" eb="2">
      <t>カイ</t>
    </rPh>
    <rPh sb="2" eb="3">
      <t>ジュ</t>
    </rPh>
    <rPh sb="3" eb="4">
      <t>ロウ</t>
    </rPh>
    <phoneticPr fontId="5"/>
  </si>
  <si>
    <t>年間就労者人員</t>
    <rPh sb="0" eb="2">
      <t>ネンカン</t>
    </rPh>
    <rPh sb="2" eb="5">
      <t>シュウロウシャ</t>
    </rPh>
    <rPh sb="5" eb="7">
      <t>ジンイン</t>
    </rPh>
    <phoneticPr fontId="5"/>
  </si>
  <si>
    <t>年間支払工賃</t>
    <rPh sb="0" eb="2">
      <t>ネンカン</t>
    </rPh>
    <rPh sb="2" eb="4">
      <t>シハライ</t>
    </rPh>
    <rPh sb="4" eb="6">
      <t>コウチン</t>
    </rPh>
    <phoneticPr fontId="5"/>
  </si>
  <si>
    <t>施設内</t>
    <rPh sb="0" eb="2">
      <t>シセツ</t>
    </rPh>
    <rPh sb="2" eb="3">
      <t>ナイ</t>
    </rPh>
    <phoneticPr fontId="5"/>
  </si>
  <si>
    <t>施設外</t>
    <rPh sb="0" eb="3">
      <t>シセツガイ</t>
    </rPh>
    <phoneticPr fontId="5"/>
  </si>
  <si>
    <t>体育研修
センター</t>
    <rPh sb="0" eb="2">
      <t>タイイク</t>
    </rPh>
    <rPh sb="2" eb="4">
      <t>ケンシュウ</t>
    </rPh>
    <phoneticPr fontId="5"/>
  </si>
  <si>
    <t>女性未来館ピュア
（平公民館含む）</t>
    <rPh sb="0" eb="2">
      <t>ジョセイ</t>
    </rPh>
    <rPh sb="2" eb="4">
      <t>ミライ</t>
    </rPh>
    <rPh sb="4" eb="5">
      <t>カン</t>
    </rPh>
    <rPh sb="10" eb="11">
      <t>タイラ</t>
    </rPh>
    <rPh sb="11" eb="14">
      <t>コウミンカン</t>
    </rPh>
    <rPh sb="14" eb="15">
      <t>フク</t>
    </rPh>
    <phoneticPr fontId="5"/>
  </si>
  <si>
    <t>サン・アルプス大町</t>
    <rPh sb="7" eb="9">
      <t>ダイチョウ</t>
    </rPh>
    <phoneticPr fontId="5"/>
  </si>
  <si>
    <t>フレンドプラザ大町</t>
    <rPh sb="7" eb="9">
      <t>ダイチョウ</t>
    </rPh>
    <phoneticPr fontId="5"/>
  </si>
  <si>
    <t>交流促進
センター
明日香荘</t>
    <rPh sb="0" eb="2">
      <t>コウリュウ</t>
    </rPh>
    <rPh sb="2" eb="4">
      <t>ソクシン</t>
    </rPh>
    <rPh sb="10" eb="13">
      <t>アスカ</t>
    </rPh>
    <rPh sb="13" eb="14">
      <t>ソウ</t>
    </rPh>
    <phoneticPr fontId="5"/>
  </si>
  <si>
    <t>ふれあい
センター
さざなみ</t>
    <phoneticPr fontId="5"/>
  </si>
  <si>
    <t>ぽかぽか
ランド美麻</t>
    <rPh sb="8" eb="10">
      <t>ミアサ</t>
    </rPh>
    <phoneticPr fontId="5"/>
  </si>
  <si>
    <t>美麻福祉企業センター</t>
    <phoneticPr fontId="5"/>
  </si>
  <si>
    <t>年間就労者人員</t>
    <rPh sb="5" eb="7">
      <t>ジンイン</t>
    </rPh>
    <phoneticPr fontId="5"/>
  </si>
  <si>
    <t>年間支払工賃</t>
  </si>
  <si>
    <t>総数</t>
  </si>
  <si>
    <t>施設内</t>
  </si>
  <si>
    <t>施設外</t>
  </si>
  <si>
    <t>　注）年間就労者数は、各月の実績数の合計である。</t>
    <phoneticPr fontId="5"/>
  </si>
  <si>
    <t>資料:大町市体育協会・観光文化課・市民課・子育て支援課・福祉課・福祉事務所・教育委員会・八坂支所・美麻支所</t>
    <rPh sb="0" eb="2">
      <t>シリョウ</t>
    </rPh>
    <rPh sb="3" eb="6">
      <t>オオマチシ</t>
    </rPh>
    <rPh sb="6" eb="8">
      <t>タイイク</t>
    </rPh>
    <rPh sb="8" eb="10">
      <t>キョウカイ</t>
    </rPh>
    <rPh sb="11" eb="13">
      <t>カンコウ</t>
    </rPh>
    <rPh sb="13" eb="15">
      <t>ブンカ</t>
    </rPh>
    <rPh sb="15" eb="16">
      <t>カ</t>
    </rPh>
    <rPh sb="17" eb="20">
      <t>シミンカ</t>
    </rPh>
    <rPh sb="21" eb="23">
      <t>コソダ</t>
    </rPh>
    <rPh sb="24" eb="26">
      <t>シエン</t>
    </rPh>
    <rPh sb="26" eb="27">
      <t>カ</t>
    </rPh>
    <rPh sb="28" eb="31">
      <t>フクシカ</t>
    </rPh>
    <rPh sb="32" eb="34">
      <t>フクシ</t>
    </rPh>
    <rPh sb="34" eb="36">
      <t>ジム</t>
    </rPh>
    <rPh sb="36" eb="37">
      <t>ショ</t>
    </rPh>
    <phoneticPr fontId="5"/>
  </si>
  <si>
    <t>市民課窓口事務の処理状況</t>
    <rPh sb="0" eb="2">
      <t>シミン</t>
    </rPh>
    <rPh sb="2" eb="3">
      <t>カ</t>
    </rPh>
    <rPh sb="3" eb="4">
      <t>マド</t>
    </rPh>
    <rPh sb="4" eb="5">
      <t>クチ</t>
    </rPh>
    <rPh sb="5" eb="7">
      <t>ジム</t>
    </rPh>
    <rPh sb="8" eb="10">
      <t>ショリ</t>
    </rPh>
    <rPh sb="10" eb="12">
      <t>ジョウキョウ</t>
    </rPh>
    <phoneticPr fontId="5"/>
  </si>
  <si>
    <t>各年3月31日現在</t>
    <phoneticPr fontId="5"/>
  </si>
  <si>
    <t>戸籍届出
申請受理数</t>
    <rPh sb="0" eb="2">
      <t>コセキ</t>
    </rPh>
    <rPh sb="2" eb="4">
      <t>トドケデ</t>
    </rPh>
    <rPh sb="5" eb="7">
      <t>シンセイ</t>
    </rPh>
    <rPh sb="7" eb="9">
      <t>ジュリ</t>
    </rPh>
    <rPh sb="9" eb="10">
      <t>スウ</t>
    </rPh>
    <phoneticPr fontId="5"/>
  </si>
  <si>
    <t>戸籍謄抄本
証明書
交付数</t>
    <rPh sb="0" eb="2">
      <t>コセキ</t>
    </rPh>
    <rPh sb="2" eb="3">
      <t>ウツ</t>
    </rPh>
    <rPh sb="3" eb="5">
      <t>ショウホン</t>
    </rPh>
    <rPh sb="6" eb="9">
      <t>ショウメイショ</t>
    </rPh>
    <rPh sb="10" eb="12">
      <t>コウフ</t>
    </rPh>
    <rPh sb="12" eb="13">
      <t>スウ</t>
    </rPh>
    <phoneticPr fontId="5"/>
  </si>
  <si>
    <t>住民異動
届出申請
受理件数</t>
    <rPh sb="0" eb="2">
      <t>ジュウミン</t>
    </rPh>
    <rPh sb="2" eb="4">
      <t>イドウ</t>
    </rPh>
    <rPh sb="5" eb="7">
      <t>トドケデ</t>
    </rPh>
    <rPh sb="7" eb="9">
      <t>シンセイ</t>
    </rPh>
    <rPh sb="10" eb="12">
      <t>ジュリ</t>
    </rPh>
    <rPh sb="12" eb="14">
      <t>ケンスウ</t>
    </rPh>
    <phoneticPr fontId="5"/>
  </si>
  <si>
    <t>住民票の
写し交付数</t>
    <rPh sb="0" eb="3">
      <t>ジュウミンヒョウ</t>
    </rPh>
    <rPh sb="5" eb="6">
      <t>ウツ</t>
    </rPh>
    <rPh sb="7" eb="9">
      <t>コウフ</t>
    </rPh>
    <rPh sb="9" eb="10">
      <t>スウ</t>
    </rPh>
    <phoneticPr fontId="5"/>
  </si>
  <si>
    <t>印鑑証明
交付数</t>
    <rPh sb="0" eb="2">
      <t>インカン</t>
    </rPh>
    <rPh sb="2" eb="4">
      <t>ショウメイ</t>
    </rPh>
    <rPh sb="5" eb="7">
      <t>コウフ</t>
    </rPh>
    <rPh sb="7" eb="8">
      <t>スウ</t>
    </rPh>
    <phoneticPr fontId="5"/>
  </si>
  <si>
    <t>妊娠届
母子手帳
交付数</t>
    <rPh sb="0" eb="2">
      <t>ニンシン</t>
    </rPh>
    <rPh sb="2" eb="3">
      <t>トドケ</t>
    </rPh>
    <rPh sb="4" eb="6">
      <t>ボシ</t>
    </rPh>
    <rPh sb="6" eb="8">
      <t>テチョウ</t>
    </rPh>
    <rPh sb="9" eb="11">
      <t>コウフ</t>
    </rPh>
    <rPh sb="11" eb="12">
      <t>スウ</t>
    </rPh>
    <phoneticPr fontId="5"/>
  </si>
  <si>
    <t>その他の
証明申請
受理数</t>
    <rPh sb="2" eb="3">
      <t>タ</t>
    </rPh>
    <rPh sb="5" eb="7">
      <t>ショウメイ</t>
    </rPh>
    <rPh sb="7" eb="9">
      <t>シンセイ</t>
    </rPh>
    <rPh sb="10" eb="12">
      <t>ジュリ</t>
    </rPh>
    <rPh sb="12" eb="13">
      <t>スウ</t>
    </rPh>
    <phoneticPr fontId="5"/>
  </si>
  <si>
    <t>資料：市民課、中央保健センター</t>
    <rPh sb="0" eb="2">
      <t>シリョウ</t>
    </rPh>
    <rPh sb="3" eb="6">
      <t>シミンカ</t>
    </rPh>
    <phoneticPr fontId="5"/>
  </si>
  <si>
    <t>専業・兼業別農家数と農家人口</t>
    <rPh sb="0" eb="2">
      <t>センギョウ</t>
    </rPh>
    <rPh sb="3" eb="5">
      <t>ケンギョウ</t>
    </rPh>
    <rPh sb="5" eb="6">
      <t>ベツ</t>
    </rPh>
    <rPh sb="6" eb="8">
      <t>ノウカ</t>
    </rPh>
    <rPh sb="8" eb="9">
      <t>スウ</t>
    </rPh>
    <rPh sb="10" eb="12">
      <t>ノウカ</t>
    </rPh>
    <rPh sb="12" eb="14">
      <t>ジンコウ</t>
    </rPh>
    <phoneticPr fontId="5"/>
  </si>
  <si>
    <t>各年2月1日現在</t>
    <rPh sb="0" eb="2">
      <t>カクネン</t>
    </rPh>
    <rPh sb="3" eb="4">
      <t>ガツ</t>
    </rPh>
    <rPh sb="5" eb="6">
      <t>ニチ</t>
    </rPh>
    <rPh sb="6" eb="8">
      <t>ゲンザイ</t>
    </rPh>
    <phoneticPr fontId="5"/>
  </si>
  <si>
    <t>区　　　　分</t>
    <rPh sb="0" eb="1">
      <t>ク</t>
    </rPh>
    <rPh sb="5" eb="6">
      <t>ブン</t>
    </rPh>
    <phoneticPr fontId="5"/>
  </si>
  <si>
    <t>大　町</t>
    <rPh sb="0" eb="1">
      <t>ダイ</t>
    </rPh>
    <rPh sb="2" eb="3">
      <t>マチ</t>
    </rPh>
    <phoneticPr fontId="5"/>
  </si>
  <si>
    <t>常　盤</t>
    <rPh sb="0" eb="1">
      <t>ツネ</t>
    </rPh>
    <rPh sb="2" eb="3">
      <t>バン</t>
    </rPh>
    <phoneticPr fontId="5"/>
  </si>
  <si>
    <t>八坂</t>
    <phoneticPr fontId="5"/>
  </si>
  <si>
    <t>自給的農家</t>
    <rPh sb="0" eb="1">
      <t>ジ</t>
    </rPh>
    <rPh sb="1" eb="2">
      <t>キュウ</t>
    </rPh>
    <rPh sb="2" eb="3">
      <t>マト</t>
    </rPh>
    <rPh sb="3" eb="4">
      <t>ノウ</t>
    </rPh>
    <rPh sb="4" eb="5">
      <t>イエ</t>
    </rPh>
    <phoneticPr fontId="5"/>
  </si>
  <si>
    <t>販売農家</t>
    <rPh sb="0" eb="1">
      <t>ハン</t>
    </rPh>
    <rPh sb="1" eb="2">
      <t>バイ</t>
    </rPh>
    <rPh sb="2" eb="3">
      <t>ノウ</t>
    </rPh>
    <rPh sb="3" eb="4">
      <t>イエ</t>
    </rPh>
    <phoneticPr fontId="5"/>
  </si>
  <si>
    <t>専業農家</t>
    <rPh sb="0" eb="2">
      <t>センギョウ</t>
    </rPh>
    <rPh sb="2" eb="4">
      <t>ノウカ</t>
    </rPh>
    <phoneticPr fontId="5"/>
  </si>
  <si>
    <t>兼業</t>
    <rPh sb="0" eb="2">
      <t>ケンギョウ</t>
    </rPh>
    <phoneticPr fontId="5"/>
  </si>
  <si>
    <t>農業主</t>
    <rPh sb="0" eb="2">
      <t>ノウギョウ</t>
    </rPh>
    <rPh sb="2" eb="3">
      <t>シュ</t>
    </rPh>
    <phoneticPr fontId="5"/>
  </si>
  <si>
    <t>兼業主</t>
    <rPh sb="0" eb="2">
      <t>ケンギョウ</t>
    </rPh>
    <rPh sb="2" eb="3">
      <t>シュ</t>
    </rPh>
    <phoneticPr fontId="5"/>
  </si>
  <si>
    <t>農家人口</t>
    <rPh sb="0" eb="1">
      <t>ノウ</t>
    </rPh>
    <rPh sb="1" eb="2">
      <t>イエ</t>
    </rPh>
    <rPh sb="2" eb="3">
      <t>ヒト</t>
    </rPh>
    <rPh sb="3" eb="4">
      <t>クチ</t>
    </rPh>
    <phoneticPr fontId="5"/>
  </si>
  <si>
    <t>令和２年</t>
    <rPh sb="0" eb="2">
      <t>レイワ</t>
    </rPh>
    <rPh sb="3" eb="4">
      <t>ネン</t>
    </rPh>
    <phoneticPr fontId="5"/>
  </si>
  <si>
    <t>販売農家における主副業別農家数</t>
    <rPh sb="0" eb="2">
      <t>ハンバイ</t>
    </rPh>
    <rPh sb="2" eb="4">
      <t>ノウカ</t>
    </rPh>
    <rPh sb="8" eb="9">
      <t>シュ</t>
    </rPh>
    <rPh sb="9" eb="11">
      <t>フクギョウ</t>
    </rPh>
    <rPh sb="11" eb="12">
      <t>ベツ</t>
    </rPh>
    <rPh sb="12" eb="14">
      <t>ノウカ</t>
    </rPh>
    <rPh sb="14" eb="15">
      <t>スウ</t>
    </rPh>
    <phoneticPr fontId="5"/>
  </si>
  <si>
    <t>区　　　分</t>
    <rPh sb="0" eb="1">
      <t>ク</t>
    </rPh>
    <rPh sb="4" eb="5">
      <t>ブン</t>
    </rPh>
    <phoneticPr fontId="5"/>
  </si>
  <si>
    <t>大　　町</t>
    <rPh sb="0" eb="1">
      <t>ダイ</t>
    </rPh>
    <rPh sb="3" eb="4">
      <t>マチ</t>
    </rPh>
    <phoneticPr fontId="5"/>
  </si>
  <si>
    <t>常　　盤</t>
    <rPh sb="0" eb="1">
      <t>ツネ</t>
    </rPh>
    <rPh sb="3" eb="4">
      <t>バン</t>
    </rPh>
    <phoneticPr fontId="5"/>
  </si>
  <si>
    <t>販売農家</t>
    <rPh sb="0" eb="1">
      <t>ハン</t>
    </rPh>
    <rPh sb="1" eb="2">
      <t>バイ</t>
    </rPh>
    <phoneticPr fontId="5"/>
  </si>
  <si>
    <t>　主業農家</t>
    <rPh sb="1" eb="2">
      <t>シュ</t>
    </rPh>
    <rPh sb="2" eb="3">
      <t>ギョウ</t>
    </rPh>
    <rPh sb="3" eb="5">
      <t>ノウカ</t>
    </rPh>
    <phoneticPr fontId="5"/>
  </si>
  <si>
    <t>　準主業農家</t>
    <rPh sb="1" eb="2">
      <t>ジュン</t>
    </rPh>
    <rPh sb="2" eb="3">
      <t>シュ</t>
    </rPh>
    <rPh sb="3" eb="4">
      <t>ギョウ</t>
    </rPh>
    <rPh sb="4" eb="6">
      <t>ノウカ</t>
    </rPh>
    <phoneticPr fontId="5"/>
  </si>
  <si>
    <t>　副業的農家</t>
    <rPh sb="1" eb="3">
      <t>フクギョウ</t>
    </rPh>
    <rPh sb="3" eb="4">
      <t>テキ</t>
    </rPh>
    <rPh sb="4" eb="6">
      <t>ノウカ</t>
    </rPh>
    <phoneticPr fontId="5"/>
  </si>
  <si>
    <t>注）①主業農家・・農業所得が主で、65歳未満の農業従事60日以上の者がいる農家。</t>
    <rPh sb="0" eb="1">
      <t>チュウ</t>
    </rPh>
    <rPh sb="3" eb="4">
      <t>シュ</t>
    </rPh>
    <rPh sb="4" eb="5">
      <t>ギョウ</t>
    </rPh>
    <rPh sb="5" eb="7">
      <t>ノウカ</t>
    </rPh>
    <rPh sb="9" eb="11">
      <t>ノウギョウ</t>
    </rPh>
    <rPh sb="11" eb="13">
      <t>ショトク</t>
    </rPh>
    <rPh sb="14" eb="15">
      <t>シュ</t>
    </rPh>
    <rPh sb="19" eb="20">
      <t>サイ</t>
    </rPh>
    <rPh sb="20" eb="22">
      <t>ミマン</t>
    </rPh>
    <rPh sb="23" eb="25">
      <t>ノウギョウ</t>
    </rPh>
    <rPh sb="25" eb="27">
      <t>ジュウジ</t>
    </rPh>
    <rPh sb="29" eb="30">
      <t>ニチ</t>
    </rPh>
    <rPh sb="30" eb="32">
      <t>イジョウ</t>
    </rPh>
    <rPh sb="33" eb="34">
      <t>モノ</t>
    </rPh>
    <rPh sb="37" eb="39">
      <t>ノウカ</t>
    </rPh>
    <phoneticPr fontId="5"/>
  </si>
  <si>
    <t>　　②準主業農家・・農外所得が主で、65歳未満の農業従事60日以上の者がいる農家。</t>
    <rPh sb="3" eb="4">
      <t>ジュン</t>
    </rPh>
    <rPh sb="4" eb="5">
      <t>シュ</t>
    </rPh>
    <rPh sb="5" eb="6">
      <t>ギョウ</t>
    </rPh>
    <rPh sb="6" eb="8">
      <t>ノウカ</t>
    </rPh>
    <rPh sb="10" eb="11">
      <t>ノウ</t>
    </rPh>
    <rPh sb="11" eb="12">
      <t>ガイ</t>
    </rPh>
    <rPh sb="12" eb="14">
      <t>ショトク</t>
    </rPh>
    <rPh sb="15" eb="16">
      <t>シュ</t>
    </rPh>
    <rPh sb="20" eb="21">
      <t>サイ</t>
    </rPh>
    <rPh sb="21" eb="23">
      <t>ミマン</t>
    </rPh>
    <rPh sb="24" eb="26">
      <t>ノウギョウ</t>
    </rPh>
    <rPh sb="26" eb="28">
      <t>ジュウジ</t>
    </rPh>
    <rPh sb="30" eb="31">
      <t>ニチ</t>
    </rPh>
    <rPh sb="31" eb="33">
      <t>イジョウ</t>
    </rPh>
    <rPh sb="34" eb="35">
      <t>モノ</t>
    </rPh>
    <rPh sb="38" eb="40">
      <t>ノウカ</t>
    </rPh>
    <phoneticPr fontId="5"/>
  </si>
  <si>
    <t>　　③副業的農家・・65歳未満の農業従事60日以上の者がいない農家。</t>
    <rPh sb="3" eb="5">
      <t>フクギョウ</t>
    </rPh>
    <rPh sb="5" eb="6">
      <t>テキ</t>
    </rPh>
    <rPh sb="6" eb="8">
      <t>ノウカ</t>
    </rPh>
    <rPh sb="12" eb="13">
      <t>サイ</t>
    </rPh>
    <rPh sb="13" eb="15">
      <t>ミマン</t>
    </rPh>
    <rPh sb="16" eb="18">
      <t>ノウギョウ</t>
    </rPh>
    <rPh sb="18" eb="20">
      <t>ジュウジ</t>
    </rPh>
    <rPh sb="22" eb="23">
      <t>ニチ</t>
    </rPh>
    <rPh sb="23" eb="25">
      <t>イジョウ</t>
    </rPh>
    <rPh sb="26" eb="27">
      <t>モノ</t>
    </rPh>
    <rPh sb="31" eb="33">
      <t>ノウカ</t>
    </rPh>
    <phoneticPr fontId="5"/>
  </si>
  <si>
    <t>販売農家における年齢別農家人口</t>
  </si>
  <si>
    <t>各年2月1日現在</t>
  </si>
  <si>
    <t>年</t>
  </si>
  <si>
    <t>0～14</t>
  </si>
  <si>
    <t>20～29</t>
  </si>
  <si>
    <t>30～39</t>
  </si>
  <si>
    <t>40～49</t>
  </si>
  <si>
    <t>50～59</t>
  </si>
  <si>
    <t>65歳以上</t>
  </si>
  <si>
    <t>増  減</t>
  </si>
  <si>
    <t>実 数</t>
  </si>
  <si>
    <t>比 率</t>
  </si>
  <si>
    <t>構成比</t>
  </si>
  <si>
    <t>資料：農林業センサス</t>
  </si>
  <si>
    <t>販売農家における家畜の頭羽数</t>
    <rPh sb="0" eb="2">
      <t>ハンバイ</t>
    </rPh>
    <rPh sb="2" eb="4">
      <t>ノウカ</t>
    </rPh>
    <rPh sb="8" eb="9">
      <t>イエ</t>
    </rPh>
    <rPh sb="9" eb="10">
      <t>チク</t>
    </rPh>
    <rPh sb="11" eb="12">
      <t>トウ</t>
    </rPh>
    <rPh sb="12" eb="13">
      <t>ハ</t>
    </rPh>
    <rPh sb="13" eb="14">
      <t>スウ</t>
    </rPh>
    <phoneticPr fontId="5"/>
  </si>
  <si>
    <t>乳用牛</t>
    <rPh sb="0" eb="1">
      <t>ニュウ</t>
    </rPh>
    <rPh sb="1" eb="2">
      <t>ヨウ</t>
    </rPh>
    <rPh sb="2" eb="3">
      <t>ギュウ</t>
    </rPh>
    <phoneticPr fontId="5"/>
  </si>
  <si>
    <t>肉用牛</t>
    <rPh sb="0" eb="1">
      <t>ニク</t>
    </rPh>
    <rPh sb="1" eb="2">
      <t>ヨウ</t>
    </rPh>
    <rPh sb="2" eb="3">
      <t>ギュウ</t>
    </rPh>
    <phoneticPr fontId="5"/>
  </si>
  <si>
    <t>豚</t>
    <rPh sb="0" eb="1">
      <t>ブタ</t>
    </rPh>
    <phoneticPr fontId="5"/>
  </si>
  <si>
    <t>鶏</t>
    <rPh sb="0" eb="1">
      <t>トリ</t>
    </rPh>
    <phoneticPr fontId="5"/>
  </si>
  <si>
    <t>頭</t>
    <rPh sb="0" eb="1">
      <t>トウ</t>
    </rPh>
    <phoneticPr fontId="5"/>
  </si>
  <si>
    <t>百羽</t>
    <rPh sb="0" eb="1">
      <t>ヒャク</t>
    </rPh>
    <rPh sb="1" eb="2">
      <t>ハ</t>
    </rPh>
    <phoneticPr fontId="5"/>
  </si>
  <si>
    <t>百羽</t>
    <rPh sb="0" eb="1">
      <t>ヒャク</t>
    </rPh>
    <rPh sb="1" eb="2">
      <t>ワ</t>
    </rPh>
    <phoneticPr fontId="5"/>
  </si>
  <si>
    <t>社</t>
  </si>
  <si>
    <t>林　野　面　積</t>
    <rPh sb="0" eb="3">
      <t>リンヤ</t>
    </rPh>
    <rPh sb="4" eb="7">
      <t>メンセキ</t>
    </rPh>
    <phoneticPr fontId="5"/>
  </si>
  <si>
    <t>令和2年2月1日現在 （単位 ： ha）</t>
    <rPh sb="0" eb="2">
      <t>レイワ</t>
    </rPh>
    <rPh sb="3" eb="4">
      <t>ネン</t>
    </rPh>
    <rPh sb="5" eb="6">
      <t>ツキ</t>
    </rPh>
    <rPh sb="6" eb="8">
      <t>１ニチ</t>
    </rPh>
    <rPh sb="8" eb="10">
      <t>ゲンザイ</t>
    </rPh>
    <rPh sb="12" eb="14">
      <t>タンイ</t>
    </rPh>
    <phoneticPr fontId="5"/>
  </si>
  <si>
    <t>国　　　　　　有</t>
    <rPh sb="0" eb="8">
      <t>コクユウ</t>
    </rPh>
    <phoneticPr fontId="5"/>
  </si>
  <si>
    <t>民　　　　　　　　　　　　　　　　　　　　　　　　　　有</t>
    <rPh sb="0" eb="28">
      <t>ミンユウ</t>
    </rPh>
    <phoneticPr fontId="5"/>
  </si>
  <si>
    <t>林野庁</t>
    <rPh sb="0" eb="3">
      <t>リンヤチョウ</t>
    </rPh>
    <phoneticPr fontId="5"/>
  </si>
  <si>
    <t>林野庁
以外の
官　庁</t>
    <rPh sb="0" eb="3">
      <t>リンヤチョウ</t>
    </rPh>
    <rPh sb="4" eb="6">
      <t>イガイ</t>
    </rPh>
    <rPh sb="8" eb="9">
      <t>カン</t>
    </rPh>
    <rPh sb="10" eb="11">
      <t>チョウ</t>
    </rPh>
    <phoneticPr fontId="5"/>
  </si>
  <si>
    <t>独立行政法人等</t>
    <rPh sb="0" eb="2">
      <t>ドクリツ</t>
    </rPh>
    <rPh sb="2" eb="4">
      <t>ギョウセイ</t>
    </rPh>
    <rPh sb="4" eb="6">
      <t>ホウジン</t>
    </rPh>
    <rPh sb="6" eb="7">
      <t>トウ</t>
    </rPh>
    <phoneticPr fontId="5"/>
  </si>
  <si>
    <t>公　　　　　　　　　　　　　　　有</t>
    <rPh sb="0" eb="17">
      <t>コウユウ</t>
    </rPh>
    <phoneticPr fontId="5"/>
  </si>
  <si>
    <t>私　　有</t>
    <rPh sb="0" eb="4">
      <t>シユウ</t>
    </rPh>
    <phoneticPr fontId="5"/>
  </si>
  <si>
    <t>小　計</t>
    <rPh sb="0" eb="1">
      <t>ショウ</t>
    </rPh>
    <rPh sb="2" eb="3">
      <t>ケイ</t>
    </rPh>
    <phoneticPr fontId="5"/>
  </si>
  <si>
    <t>都道府県</t>
    <rPh sb="0" eb="4">
      <t>トドウフケン</t>
    </rPh>
    <phoneticPr fontId="5"/>
  </si>
  <si>
    <t>森林整備法人
（林業・
造林公社）</t>
    <rPh sb="0" eb="2">
      <t>シンリン</t>
    </rPh>
    <rPh sb="2" eb="4">
      <t>セイビ</t>
    </rPh>
    <rPh sb="4" eb="6">
      <t>ホウジン</t>
    </rPh>
    <rPh sb="8" eb="10">
      <t>リンギョウ</t>
    </rPh>
    <rPh sb="12" eb="14">
      <t>ゾウリン</t>
    </rPh>
    <rPh sb="14" eb="16">
      <t>コウシャ</t>
    </rPh>
    <phoneticPr fontId="5"/>
  </si>
  <si>
    <t>市区町村</t>
    <rPh sb="0" eb="2">
      <t>シク</t>
    </rPh>
    <rPh sb="2" eb="4">
      <t>チョウソン</t>
    </rPh>
    <phoneticPr fontId="5"/>
  </si>
  <si>
    <t>財産区</t>
    <rPh sb="0" eb="2">
      <t>ザイサン</t>
    </rPh>
    <rPh sb="2" eb="3">
      <t>ク</t>
    </rPh>
    <phoneticPr fontId="5"/>
  </si>
  <si>
    <t>注）①自給的農家…経営耕地面積が30ａ未満かつ農産物販売金額が50万円未満の農家。</t>
    <rPh sb="0" eb="1">
      <t>チュウ</t>
    </rPh>
    <rPh sb="3" eb="6">
      <t>ジキュウテキ</t>
    </rPh>
    <rPh sb="6" eb="8">
      <t>ノウカ</t>
    </rPh>
    <rPh sb="9" eb="11">
      <t>ケイエイ</t>
    </rPh>
    <rPh sb="11" eb="13">
      <t>コウチ</t>
    </rPh>
    <rPh sb="13" eb="15">
      <t>メンセキ</t>
    </rPh>
    <rPh sb="19" eb="21">
      <t>ミマン</t>
    </rPh>
    <rPh sb="23" eb="26">
      <t>ノウサンブツ</t>
    </rPh>
    <rPh sb="26" eb="28">
      <t>ハンバイ</t>
    </rPh>
    <rPh sb="28" eb="29">
      <t>キン</t>
    </rPh>
    <rPh sb="29" eb="30">
      <t>ガク</t>
    </rPh>
    <rPh sb="33" eb="35">
      <t>マンエン</t>
    </rPh>
    <rPh sb="35" eb="37">
      <t>ミマン</t>
    </rPh>
    <rPh sb="38" eb="40">
      <t>ノウカ</t>
    </rPh>
    <phoneticPr fontId="5"/>
  </si>
  <si>
    <t xml:space="preserve">    ③平成12年、17年は総農家の世帯員数より農家人口を算出。  </t>
    <rPh sb="5" eb="7">
      <t>ヘイセイ</t>
    </rPh>
    <rPh sb="9" eb="10">
      <t>ネン</t>
    </rPh>
    <rPh sb="13" eb="14">
      <t>ネン</t>
    </rPh>
    <rPh sb="15" eb="16">
      <t>ソウ</t>
    </rPh>
    <rPh sb="16" eb="18">
      <t>ノウカ</t>
    </rPh>
    <rPh sb="19" eb="22">
      <t>セタイイン</t>
    </rPh>
    <rPh sb="22" eb="23">
      <t>スウ</t>
    </rPh>
    <rPh sb="25" eb="27">
      <t>ノウカ</t>
    </rPh>
    <rPh sb="27" eb="29">
      <t>ジンコウ</t>
    </rPh>
    <rPh sb="30" eb="32">
      <t>サンシュツ</t>
    </rPh>
    <phoneticPr fontId="5"/>
  </si>
  <si>
    <t>　　　平成22年、27年は販売農家のみの世帯員数より農家人口を算出。</t>
    <rPh sb="3" eb="5">
      <t>ヘイセイ</t>
    </rPh>
    <rPh sb="7" eb="8">
      <t>ネン</t>
    </rPh>
    <rPh sb="11" eb="12">
      <t>ネン</t>
    </rPh>
    <rPh sb="13" eb="15">
      <t>ハンバイ</t>
    </rPh>
    <rPh sb="15" eb="17">
      <t>ノウカ</t>
    </rPh>
    <rPh sb="20" eb="23">
      <t>セタイイン</t>
    </rPh>
    <rPh sb="23" eb="24">
      <t>スウ</t>
    </rPh>
    <rPh sb="26" eb="28">
      <t>ノウカ</t>
    </rPh>
    <rPh sb="28" eb="30">
      <t>ジンコウ</t>
    </rPh>
    <rPh sb="31" eb="33">
      <t>サンシュツ</t>
    </rPh>
    <phoneticPr fontId="5"/>
  </si>
  <si>
    <t>　　　令和２年は個人経営体の世帯員数より農家人口を算出。</t>
    <rPh sb="3" eb="5">
      <t>レイワ</t>
    </rPh>
    <rPh sb="6" eb="7">
      <t>ネン</t>
    </rPh>
    <rPh sb="8" eb="10">
      <t>コジン</t>
    </rPh>
    <rPh sb="10" eb="13">
      <t>ケイエイタイ</t>
    </rPh>
    <rPh sb="14" eb="17">
      <t>セタイイン</t>
    </rPh>
    <rPh sb="17" eb="18">
      <t>スウ</t>
    </rPh>
    <rPh sb="20" eb="22">
      <t>ノウカ</t>
    </rPh>
    <rPh sb="22" eb="24">
      <t>ジンコウ</t>
    </rPh>
    <rPh sb="25" eb="27">
      <t>サンシュツ</t>
    </rPh>
    <phoneticPr fontId="4"/>
  </si>
  <si>
    <t>注）農家人口は個人経営体の世帯員数となっている。</t>
    <rPh sb="0" eb="1">
      <t>チュウ</t>
    </rPh>
    <rPh sb="2" eb="6">
      <t>ノウカジンコウ</t>
    </rPh>
    <rPh sb="7" eb="12">
      <t>コジンケイエイタイ</t>
    </rPh>
    <rPh sb="13" eb="16">
      <t>セタイイン</t>
    </rPh>
    <rPh sb="16" eb="17">
      <t>スウ</t>
    </rPh>
    <phoneticPr fontId="4"/>
  </si>
  <si>
    <t xml:space="preserve">    ②販売農家…経営耕地面積が30ａ以上又は調査期日前１年間における農産物販売金額が50万円以上の農家</t>
    <rPh sb="5" eb="7">
      <t>ハンバイ</t>
    </rPh>
    <rPh sb="7" eb="9">
      <t>ノウカ</t>
    </rPh>
    <phoneticPr fontId="5"/>
  </si>
  <si>
    <t xml:space="preserve">    ④販売農家…経営耕地面積が30ａ以上又は調査期日前１年間における農産物販売金額が50万円以上の農家</t>
    <rPh sb="5" eb="7">
      <t>ハンバイ</t>
    </rPh>
    <rPh sb="7" eb="9">
      <t>ノウカ</t>
    </rPh>
    <phoneticPr fontId="5"/>
  </si>
  <si>
    <t>注）2.畑のうち「普通畑」、「作付けしなかった」について、令和２年度は集計なし。</t>
    <rPh sb="0" eb="1">
      <t>チュウ</t>
    </rPh>
    <rPh sb="4" eb="5">
      <t>ハタケ</t>
    </rPh>
    <rPh sb="9" eb="11">
      <t>フツウ</t>
    </rPh>
    <rPh sb="11" eb="12">
      <t>ハタケ</t>
    </rPh>
    <rPh sb="15" eb="17">
      <t>サクツ</t>
    </rPh>
    <rPh sb="29" eb="31">
      <t>レイワ</t>
    </rPh>
    <rPh sb="32" eb="33">
      <t>ネン</t>
    </rPh>
    <rPh sb="33" eb="34">
      <t>ド</t>
    </rPh>
    <rPh sb="35" eb="37">
      <t>シュウケイ</t>
    </rPh>
    <phoneticPr fontId="5"/>
  </si>
  <si>
    <t>X</t>
    <phoneticPr fontId="4"/>
  </si>
  <si>
    <t>大町市議会議員増員選挙八坂選挙区</t>
    <rPh sb="0" eb="2">
      <t>オオマチ</t>
    </rPh>
    <rPh sb="2" eb="4">
      <t>シギ</t>
    </rPh>
    <rPh sb="4" eb="5">
      <t>カイ</t>
    </rPh>
    <rPh sb="5" eb="7">
      <t>ギイン</t>
    </rPh>
    <rPh sb="7" eb="9">
      <t>ゾウイン</t>
    </rPh>
    <rPh sb="9" eb="11">
      <t>センキョ</t>
    </rPh>
    <rPh sb="11" eb="13">
      <t>ヤサカ</t>
    </rPh>
    <rPh sb="13" eb="15">
      <t>センキョ</t>
    </rPh>
    <rPh sb="15" eb="16">
      <t>ク</t>
    </rPh>
    <phoneticPr fontId="5"/>
  </si>
  <si>
    <t>大町市議会議員増員選挙美麻選挙区</t>
    <rPh sb="0" eb="2">
      <t>オオマチ</t>
    </rPh>
    <rPh sb="2" eb="4">
      <t>シギ</t>
    </rPh>
    <rPh sb="4" eb="5">
      <t>カイ</t>
    </rPh>
    <rPh sb="5" eb="7">
      <t>ギイン</t>
    </rPh>
    <rPh sb="7" eb="9">
      <t>ゾウイン</t>
    </rPh>
    <rPh sb="9" eb="11">
      <t>センキョ</t>
    </rPh>
    <rPh sb="11" eb="13">
      <t>ミアサ</t>
    </rPh>
    <rPh sb="13" eb="15">
      <t>センキョ</t>
    </rPh>
    <rPh sb="15" eb="16">
      <t>ク</t>
    </rPh>
    <phoneticPr fontId="5"/>
  </si>
  <si>
    <t>資料 ： 学校基本調査、教育委員会、大町岳陽高校</t>
    <rPh sb="0" eb="2">
      <t>シリョウ</t>
    </rPh>
    <rPh sb="5" eb="11">
      <t>ガッコウキホンチョウサ</t>
    </rPh>
    <rPh sb="12" eb="17">
      <t>キョウイクイインカイ</t>
    </rPh>
    <rPh sb="18" eb="20">
      <t>オオマチ</t>
    </rPh>
    <rPh sb="20" eb="22">
      <t>ガクヨウ</t>
    </rPh>
    <rPh sb="22" eb="24">
      <t>コウコウ</t>
    </rPh>
    <phoneticPr fontId="5"/>
  </si>
  <si>
    <t>令和５年度</t>
    <rPh sb="0" eb="2">
      <t>レイワ</t>
    </rPh>
    <rPh sb="3" eb="4">
      <t>ネン</t>
    </rPh>
    <rPh sb="4" eb="5">
      <t>ド</t>
    </rPh>
    <phoneticPr fontId="5"/>
  </si>
  <si>
    <t>令和４年度</t>
    <rPh sb="0" eb="1">
      <t>レイ</t>
    </rPh>
    <rPh sb="1" eb="2">
      <t>カズ</t>
    </rPh>
    <rPh sb="3" eb="4">
      <t>ネン</t>
    </rPh>
    <rPh sb="4" eb="5">
      <t>ド</t>
    </rPh>
    <phoneticPr fontId="5"/>
  </si>
  <si>
    <t>令和３年度</t>
    <rPh sb="0" eb="1">
      <t>レイ</t>
    </rPh>
    <rPh sb="1" eb="2">
      <t>カズ</t>
    </rPh>
    <rPh sb="3" eb="4">
      <t>ネン</t>
    </rPh>
    <rPh sb="4" eb="5">
      <t>ド</t>
    </rPh>
    <phoneticPr fontId="5"/>
  </si>
  <si>
    <t>資料：長野県自動車販売店協会 市区町村別 自動車保有車両数、税務課</t>
    <rPh sb="0" eb="2">
      <t>シリョウシ</t>
    </rPh>
    <rPh sb="15" eb="19">
      <t>シクチョウソンベ</t>
    </rPh>
    <rPh sb="19" eb="20">
      <t>ベツジ</t>
    </rPh>
    <rPh sb="21" eb="24">
      <t>ジドウシャホ</t>
    </rPh>
    <rPh sb="24" eb="29">
      <t>ホユウシャリョウスウゼ</t>
    </rPh>
    <rPh sb="30" eb="32">
      <t>ゼイムカ</t>
    </rPh>
    <rPh sb="32" eb="33">
      <t>カ</t>
    </rPh>
    <phoneticPr fontId="29"/>
  </si>
  <si>
    <t>一人当たりの市民所得</t>
    <rPh sb="0" eb="2">
      <t>ヒトリ</t>
    </rPh>
    <rPh sb="2" eb="3">
      <t>ア</t>
    </rPh>
    <rPh sb="6" eb="8">
      <t>シミン</t>
    </rPh>
    <rPh sb="8" eb="10">
      <t>ショトク</t>
    </rPh>
    <phoneticPr fontId="5"/>
  </si>
  <si>
    <t>市町村民所得（分配）</t>
    <rPh sb="0" eb="2">
      <t>シチョウ</t>
    </rPh>
    <rPh sb="2" eb="4">
      <t>ソンミン</t>
    </rPh>
    <rPh sb="4" eb="6">
      <t>ショトク</t>
    </rPh>
    <rPh sb="7" eb="9">
      <t>ブンパイ</t>
    </rPh>
    <phoneticPr fontId="5"/>
  </si>
  <si>
    <t>10月1日現在人口</t>
    <rPh sb="2" eb="3">
      <t>ガツ</t>
    </rPh>
    <rPh sb="4" eb="5">
      <t>ニチ</t>
    </rPh>
    <rPh sb="5" eb="7">
      <t>ゲンザイ</t>
    </rPh>
    <rPh sb="7" eb="9">
      <t>ジンコウ</t>
    </rPh>
    <phoneticPr fontId="5"/>
  </si>
  <si>
    <t>一人当たり
市町村民所得</t>
    <rPh sb="0" eb="2">
      <t>1ニン</t>
    </rPh>
    <rPh sb="2" eb="3">
      <t>ア</t>
    </rPh>
    <rPh sb="6" eb="8">
      <t>シチョウ</t>
    </rPh>
    <rPh sb="8" eb="10">
      <t>ソンミン</t>
    </rPh>
    <rPh sb="10" eb="12">
      <t>ショトク</t>
    </rPh>
    <phoneticPr fontId="5"/>
  </si>
  <si>
    <t>100万円</t>
    <rPh sb="3" eb="4">
      <t>マン</t>
    </rPh>
    <rPh sb="4" eb="5">
      <t>エン</t>
    </rPh>
    <phoneticPr fontId="5"/>
  </si>
  <si>
    <t>令和元年度</t>
    <rPh sb="0" eb="2">
      <t>レイワ</t>
    </rPh>
    <rPh sb="2" eb="3">
      <t>モト</t>
    </rPh>
    <rPh sb="3" eb="4">
      <t>ネン</t>
    </rPh>
    <rPh sb="4" eb="5">
      <t>ド</t>
    </rPh>
    <phoneticPr fontId="5"/>
  </si>
  <si>
    <t>　注1）10月1日現在人口は「毎月人口異動調査」数値</t>
    <rPh sb="1" eb="2">
      <t>チュウ</t>
    </rPh>
    <rPh sb="6" eb="7">
      <t>ガツ</t>
    </rPh>
    <rPh sb="8" eb="9">
      <t>ニチ</t>
    </rPh>
    <rPh sb="9" eb="11">
      <t>ゲンザイ</t>
    </rPh>
    <rPh sb="11" eb="13">
      <t>ジンコウ</t>
    </rPh>
    <rPh sb="15" eb="17">
      <t>マイツキ</t>
    </rPh>
    <rPh sb="17" eb="19">
      <t>ジンコウ</t>
    </rPh>
    <rPh sb="19" eb="21">
      <t>イドウ</t>
    </rPh>
    <rPh sb="21" eb="23">
      <t>チョウサ</t>
    </rPh>
    <rPh sb="24" eb="26">
      <t>スウチ</t>
    </rPh>
    <phoneticPr fontId="5"/>
  </si>
  <si>
    <t>　注2）この数値は、前年度公表後に確定した統計値を使用して遡及改訂を行っているため、</t>
    <rPh sb="1" eb="2">
      <t>チュウ</t>
    </rPh>
    <rPh sb="6" eb="8">
      <t>スウチ</t>
    </rPh>
    <rPh sb="10" eb="13">
      <t>ゼンネンド</t>
    </rPh>
    <rPh sb="13" eb="15">
      <t>コウヒョウ</t>
    </rPh>
    <rPh sb="15" eb="16">
      <t>ゴ</t>
    </rPh>
    <rPh sb="17" eb="19">
      <t>カクテイ</t>
    </rPh>
    <rPh sb="21" eb="23">
      <t>トウケイ</t>
    </rPh>
    <rPh sb="23" eb="24">
      <t>チ</t>
    </rPh>
    <rPh sb="25" eb="27">
      <t>シヨウ</t>
    </rPh>
    <rPh sb="29" eb="31">
      <t>ソキュウ</t>
    </rPh>
    <rPh sb="31" eb="33">
      <t>カイテイ</t>
    </rPh>
    <rPh sb="34" eb="35">
      <t>オコナ</t>
    </rPh>
    <phoneticPr fontId="5"/>
  </si>
  <si>
    <t>　　　 過去の公表値と異なる場合があります。</t>
    <rPh sb="4" eb="6">
      <t>カコ</t>
    </rPh>
    <rPh sb="7" eb="9">
      <t>コウヒョウ</t>
    </rPh>
    <rPh sb="9" eb="10">
      <t>チ</t>
    </rPh>
    <rPh sb="11" eb="12">
      <t>コト</t>
    </rPh>
    <rPh sb="14" eb="16">
      <t>バアイ</t>
    </rPh>
    <phoneticPr fontId="5"/>
  </si>
  <si>
    <t>消防施設と人員</t>
    <rPh sb="0" eb="2">
      <t>ショウボウ</t>
    </rPh>
    <rPh sb="2" eb="4">
      <t>シセツ</t>
    </rPh>
    <rPh sb="5" eb="6">
      <t>ニン</t>
    </rPh>
    <rPh sb="6" eb="7">
      <t>イン</t>
    </rPh>
    <phoneticPr fontId="5"/>
  </si>
  <si>
    <t>施　　設</t>
    <rPh sb="0" eb="4">
      <t>シセツ</t>
    </rPh>
    <phoneticPr fontId="5"/>
  </si>
  <si>
    <t>人　員</t>
    <rPh sb="0" eb="1">
      <t>ニン</t>
    </rPh>
    <rPh sb="2" eb="3">
      <t>イン</t>
    </rPh>
    <phoneticPr fontId="5"/>
  </si>
  <si>
    <t>消防
自動車</t>
    <rPh sb="0" eb="2">
      <t>ショウボウシャ</t>
    </rPh>
    <rPh sb="3" eb="6">
      <t>ジドウシャ</t>
    </rPh>
    <phoneticPr fontId="5"/>
  </si>
  <si>
    <t>指令車</t>
    <rPh sb="0" eb="2">
      <t>シレイ</t>
    </rPh>
    <rPh sb="2" eb="3">
      <t>シャ</t>
    </rPh>
    <phoneticPr fontId="5"/>
  </si>
  <si>
    <t>査察車</t>
    <rPh sb="0" eb="2">
      <t>ササツ</t>
    </rPh>
    <rPh sb="2" eb="3">
      <t>シャ</t>
    </rPh>
    <phoneticPr fontId="5"/>
  </si>
  <si>
    <t>積載車</t>
    <rPh sb="0" eb="1">
      <t>ツミ</t>
    </rPh>
    <rPh sb="1" eb="2">
      <t>ノ</t>
    </rPh>
    <rPh sb="2" eb="3">
      <t>シャ</t>
    </rPh>
    <phoneticPr fontId="5"/>
  </si>
  <si>
    <t>小型動力
ポンプ</t>
    <rPh sb="0" eb="2">
      <t>コガタ</t>
    </rPh>
    <rPh sb="2" eb="4">
      <t>ドウリョク</t>
    </rPh>
    <phoneticPr fontId="5"/>
  </si>
  <si>
    <t>救急
自動車</t>
    <rPh sb="0" eb="2">
      <t>キュウキュウ</t>
    </rPh>
    <rPh sb="3" eb="6">
      <t>ジドウシャ</t>
    </rPh>
    <phoneticPr fontId="5"/>
  </si>
  <si>
    <t>警鐘楼</t>
    <rPh sb="0" eb="1">
      <t>ケイサツ</t>
    </rPh>
    <phoneticPr fontId="5"/>
  </si>
  <si>
    <t>防火水槽</t>
    <rPh sb="0" eb="2">
      <t>ボウカ</t>
    </rPh>
    <rPh sb="2" eb="4">
      <t>スイソウ</t>
    </rPh>
    <phoneticPr fontId="5"/>
  </si>
  <si>
    <t>消火栓</t>
    <rPh sb="0" eb="3">
      <t>ショウカセン</t>
    </rPh>
    <phoneticPr fontId="5"/>
  </si>
  <si>
    <t>器具置場</t>
    <rPh sb="0" eb="2">
      <t>キグ</t>
    </rPh>
    <rPh sb="2" eb="4">
      <t>オキバ</t>
    </rPh>
    <phoneticPr fontId="5"/>
  </si>
  <si>
    <t>消防団</t>
    <rPh sb="0" eb="3">
      <t>ショウボウダン</t>
    </rPh>
    <phoneticPr fontId="5"/>
  </si>
  <si>
    <t>消防本部署</t>
    <rPh sb="0" eb="2">
      <t>ショウボウ</t>
    </rPh>
    <rPh sb="2" eb="4">
      <t>ホンブ</t>
    </rPh>
    <rPh sb="4" eb="5">
      <t>ショ</t>
    </rPh>
    <phoneticPr fontId="5"/>
  </si>
  <si>
    <t>実数</t>
    <rPh sb="0" eb="2">
      <t>ジッスウ</t>
    </rPh>
    <phoneticPr fontId="5"/>
  </si>
  <si>
    <t>基</t>
    <rPh sb="0" eb="1">
      <t>キ</t>
    </rPh>
    <phoneticPr fontId="5"/>
  </si>
  <si>
    <t>個所</t>
    <rPh sb="0" eb="2">
      <t>カショ</t>
    </rPh>
    <phoneticPr fontId="5"/>
  </si>
  <si>
    <t>194</t>
    <phoneticPr fontId="5"/>
  </si>
  <si>
    <t>194</t>
  </si>
  <si>
    <t xml:space="preserve">    </t>
  </si>
  <si>
    <t>137火災の発生件数・焼失面積と損害額等</t>
    <rPh sb="3" eb="5">
      <t>カサイ</t>
    </rPh>
    <rPh sb="6" eb="10">
      <t>ハッセイケンスウ</t>
    </rPh>
    <rPh sb="11" eb="15">
      <t>ショウシツメンセキ</t>
    </rPh>
    <rPh sb="16" eb="18">
      <t>ソンガイ</t>
    </rPh>
    <rPh sb="18" eb="19">
      <t>ガク</t>
    </rPh>
    <rPh sb="19" eb="20">
      <t>トウ</t>
    </rPh>
    <phoneticPr fontId="4"/>
  </si>
  <si>
    <t>医療施設　　　各年10月1日現在
医療従事者　　隔年12月31日現在</t>
    <rPh sb="0" eb="2">
      <t>イリョウ</t>
    </rPh>
    <rPh sb="2" eb="4">
      <t>シセツ</t>
    </rPh>
    <rPh sb="7" eb="9">
      <t>カクネン</t>
    </rPh>
    <rPh sb="11" eb="12">
      <t>ガツ</t>
    </rPh>
    <rPh sb="13" eb="14">
      <t>ニチ</t>
    </rPh>
    <rPh sb="14" eb="16">
      <t>ゲンザイ</t>
    </rPh>
    <rPh sb="17" eb="19">
      <t>イリョウ</t>
    </rPh>
    <rPh sb="19" eb="22">
      <t>ジュウジシャ</t>
    </rPh>
    <rPh sb="24" eb="26">
      <t>カクネン</t>
    </rPh>
    <rPh sb="28" eb="29">
      <t>ガツ</t>
    </rPh>
    <rPh sb="31" eb="32">
      <t>ニチ</t>
    </rPh>
    <rPh sb="32" eb="34">
      <t>ゲンザイ</t>
    </rPh>
    <phoneticPr fontId="5"/>
  </si>
  <si>
    <t>資料：危機管理課、北アルプス広域消防本部</t>
    <rPh sb="0" eb="2">
      <t>シリョウ</t>
    </rPh>
    <rPh sb="3" eb="5">
      <t>キキ</t>
    </rPh>
    <rPh sb="5" eb="7">
      <t>カンリ</t>
    </rPh>
    <rPh sb="7" eb="8">
      <t>カ</t>
    </rPh>
    <rPh sb="9" eb="10">
      <t>キタ</t>
    </rPh>
    <rPh sb="14" eb="16">
      <t>コウイキ</t>
    </rPh>
    <rPh sb="16" eb="18">
      <t>ショウボウ</t>
    </rPh>
    <rPh sb="18" eb="20">
      <t>ホンブ</t>
    </rPh>
    <phoneticPr fontId="5"/>
  </si>
  <si>
    <t>注） 1.警鐘楼はホース乾燥施設も含む。</t>
    <phoneticPr fontId="4"/>
  </si>
  <si>
    <t xml:space="preserve">     2.積載車は小型ポンプ付である。</t>
    <phoneticPr fontId="4"/>
  </si>
  <si>
    <t>資料：観光文化課</t>
    <rPh sb="0" eb="2">
      <t>シリョウ</t>
    </rPh>
    <rPh sb="3" eb="5">
      <t>カンコウ</t>
    </rPh>
    <rPh sb="5" eb="7">
      <t>ブンカ</t>
    </rPh>
    <rPh sb="7" eb="8">
      <t>カ</t>
    </rPh>
    <phoneticPr fontId="5"/>
  </si>
  <si>
    <t>確認中</t>
    <rPh sb="0" eb="3">
      <t>カクニンチュウ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</si>
</sst>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41" formatCode="_ * #,##0_ ;_ * \-#,##0_ ;_ * &quot;-&quot;_ ;_ @_ "/>
    <numFmt numFmtId="176" formatCode="0.00_ "/>
    <numFmt numFmtId="177" formatCode="0.0_ "/>
    <numFmt numFmtId="178" formatCode="#,##0.0;&quot;△ &quot;#,##0.0"/>
    <numFmt numFmtId="179" formatCode="#,##0_);[Red]\(#,##0\)"/>
    <numFmt numFmtId="180" formatCode="#,##0;&quot;△ &quot;#,##0"/>
    <numFmt numFmtId="181" formatCode="??"/>
    <numFmt numFmtId="182" formatCode="??,???"/>
    <numFmt numFmtId="183" formatCode="0.0"/>
    <numFmt numFmtId="184" formatCode="??.0"/>
    <numFmt numFmtId="185" formatCode="?,???"/>
    <numFmt numFmtId="186" formatCode="??00"/>
    <numFmt numFmtId="187" formatCode="???0"/>
    <numFmt numFmtId="188" formatCode="????"/>
    <numFmt numFmtId="189" formatCode="??.?"/>
    <numFmt numFmtId="190" formatCode="#,##0.0;[Red]\-#,##0.0"/>
    <numFmt numFmtId="191" formatCode="#,##0.0_ ;[Red]\-#,##0.0\ "/>
    <numFmt numFmtId="192" formatCode="???"/>
    <numFmt numFmtId="193" formatCode="#,##0.0"/>
    <numFmt numFmtId="194" formatCode="0_);[Red]\(0\)"/>
    <numFmt numFmtId="195" formatCode="#,##0_ "/>
    <numFmt numFmtId="196" formatCode="###,###,###,##0;&quot;-&quot;##,###,###,##0"/>
    <numFmt numFmtId="197" formatCode="###,###,###,##0.00;&quot;-&quot;##,###,###,##0.00"/>
    <numFmt numFmtId="198" formatCode="??,???.00"/>
    <numFmt numFmtId="199" formatCode="0;&quot;△ &quot;0"/>
    <numFmt numFmtId="200" formatCode="???.0"/>
    <numFmt numFmtId="201" formatCode="???.?"/>
    <numFmt numFmtId="202" formatCode="#,##0.00_);[Red]\(#,##0.00\)"/>
    <numFmt numFmtId="203" formatCode="#,##0_);\(#,##0\)"/>
    <numFmt numFmtId="204" formatCode="#,##0.00_);\(#,##0.00\)"/>
    <numFmt numFmtId="205" formatCode="???,???"/>
    <numFmt numFmtId="206" formatCode="??0.0"/>
    <numFmt numFmtId="207" formatCode="0.0000"/>
    <numFmt numFmtId="208" formatCode="??0"/>
    <numFmt numFmtId="209" formatCode="0.0;&quot;△ &quot;0.0"/>
    <numFmt numFmtId="210" formatCode="#,##0_ ;[Red]\-#,##0\ "/>
    <numFmt numFmtId="211" formatCode="#,##0.0_);[Red]\(#,##0.0\)"/>
    <numFmt numFmtId="212" formatCode="#,##0.0_ "/>
    <numFmt numFmtId="213" formatCode="0.0_);[Red]\(0.0\)"/>
    <numFmt numFmtId="214" formatCode="#,##0\ "/>
    <numFmt numFmtId="215" formatCode="#,##0;[Red]#,##0"/>
    <numFmt numFmtId="216" formatCode="#,###"/>
    <numFmt numFmtId="217" formatCode="?,???.?"/>
    <numFmt numFmtId="218" formatCode="???,???,???"/>
    <numFmt numFmtId="219" formatCode="??,??0;&quot;△ &quot;??,??0"/>
    <numFmt numFmtId="220" formatCode="??0;&quot;△ &quot;??0"/>
    <numFmt numFmtId="221" formatCode="\(0\);\(\-0\)"/>
    <numFmt numFmtId="222" formatCode="??,??0.00&quot;㎡&quot;;\-??,??0.00&quot;㎡&quot;"/>
    <numFmt numFmtId="223" formatCode="#,##0&quot;戸&quot;"/>
    <numFmt numFmtId="224" formatCode="\(#,##0\);\(#,##0\)"/>
    <numFmt numFmtId="225" formatCode="?,???,???"/>
    <numFmt numFmtId="226" formatCode="0_ "/>
    <numFmt numFmtId="227" formatCode="???,???.0"/>
    <numFmt numFmtId="228" formatCode="000"/>
    <numFmt numFmtId="229" formatCode="??,???.0"/>
    <numFmt numFmtId="230" formatCode="??,???.?"/>
    <numFmt numFmtId="231" formatCode="&quot;約&quot;??"/>
    <numFmt numFmtId="232" formatCode="&quot;約&quot;?"/>
    <numFmt numFmtId="233" formatCode="&quot;約&quot;???.0"/>
    <numFmt numFmtId="234" formatCode="&quot;約&quot;?.?"/>
    <numFmt numFmtId="235" formatCode="?0"/>
    <numFmt numFmtId="236" formatCode="0.0%"/>
    <numFmt numFmtId="237" formatCode="* #,##0_ ;_ @_ "/>
    <numFmt numFmtId="238" formatCode="?,???,???.0"/>
  </numFmts>
  <fonts count="82">
    <font>
      <sz val="11"/>
      <color theme="1"/>
      <name val="Yu Gothic"/>
      <family val="2"/>
      <scheme val="minor"/>
    </font>
    <font>
      <sz val="11"/>
      <color theme="1"/>
      <name val="Yu Gothic"/>
      <family val="2"/>
      <charset val="128"/>
      <scheme val="minor"/>
    </font>
    <font>
      <sz val="11"/>
      <name val="ＭＳ Ｐゴシック"/>
      <family val="3"/>
      <charset val="128"/>
    </font>
    <font>
      <sz val="14"/>
      <name val="ＭＳ ゴシック"/>
      <family val="3"/>
      <charset val="128"/>
    </font>
    <font>
      <sz val="6"/>
      <name val="Yu Gothic"/>
      <family val="3"/>
      <charset val="128"/>
      <scheme val="minor"/>
    </font>
    <font>
      <sz val="6"/>
      <name val="ＭＳ Ｐゴシック"/>
      <family val="3"/>
      <charset val="128"/>
    </font>
    <font>
      <sz val="11"/>
      <name val="ＭＳ ゴシック"/>
      <family val="3"/>
      <charset val="128"/>
    </font>
    <font>
      <sz val="9"/>
      <name val="ＭＳ ゴシック"/>
      <family val="3"/>
      <charset val="128"/>
    </font>
    <font>
      <sz val="12"/>
      <name val="ＭＳ ゴシック"/>
      <family val="3"/>
      <charset val="128"/>
    </font>
    <font>
      <sz val="9"/>
      <name val="ＭＳ Ｐゴシック"/>
      <family val="3"/>
      <charset val="128"/>
    </font>
    <font>
      <b/>
      <sz val="14"/>
      <name val="ＭＳ ゴシック"/>
      <family val="3"/>
      <charset val="128"/>
    </font>
    <font>
      <sz val="9"/>
      <color theme="1"/>
      <name val="ＭＳ ゴシック"/>
      <family val="3"/>
      <charset val="128"/>
    </font>
    <font>
      <sz val="14"/>
      <name val="ＭＳ Ｐゴシック"/>
      <family val="3"/>
      <charset val="128"/>
    </font>
    <font>
      <u/>
      <sz val="11"/>
      <color theme="10"/>
      <name val="ＭＳ Ｐゴシック"/>
      <family val="3"/>
      <charset val="128"/>
    </font>
    <font>
      <sz val="7"/>
      <name val="ＭＳ ゴシック"/>
      <family val="3"/>
      <charset val="128"/>
    </font>
    <font>
      <sz val="9"/>
      <color indexed="8"/>
      <name val="ＭＳ ゴシック"/>
      <family val="3"/>
      <charset val="128"/>
    </font>
    <font>
      <sz val="14"/>
      <color theme="1"/>
      <name val="ＭＳ ゴシック"/>
      <family val="3"/>
      <charset val="128"/>
    </font>
    <font>
      <sz val="11"/>
      <color theme="1"/>
      <name val="ＭＳ Ｐゴシック"/>
      <family val="3"/>
      <charset val="128"/>
    </font>
    <font>
      <sz val="9"/>
      <color indexed="10"/>
      <name val="ＭＳ ゴシック"/>
      <family val="3"/>
      <charset val="128"/>
    </font>
    <font>
      <sz val="9"/>
      <name val="メイリオ"/>
      <family val="3"/>
      <charset val="128"/>
    </font>
    <font>
      <sz val="9"/>
      <color theme="1"/>
      <name val="ＭＳ Ｐゴシック"/>
      <family val="3"/>
      <charset val="128"/>
    </font>
    <font>
      <sz val="9"/>
      <name val="ＭＳ 明朝"/>
      <family val="1"/>
      <charset val="128"/>
    </font>
    <font>
      <sz val="10"/>
      <color theme="1"/>
      <name val="ＭＳゴシック"/>
      <family val="3"/>
      <charset val="128"/>
    </font>
    <font>
      <sz val="6"/>
      <name val="Yu Gothic"/>
      <family val="2"/>
      <charset val="128"/>
      <scheme val="minor"/>
    </font>
    <font>
      <u/>
      <sz val="11"/>
      <color indexed="36"/>
      <name val="ＭＳ Ｐゴシック"/>
      <family val="3"/>
      <charset val="128"/>
    </font>
    <font>
      <sz val="13.5"/>
      <name val="ＭＳ ゴシック"/>
      <family val="3"/>
      <charset val="128"/>
    </font>
    <font>
      <sz val="11"/>
      <color rgb="FFFF0000"/>
      <name val="ＭＳ Ｐゴシック"/>
      <family val="3"/>
      <charset val="128"/>
    </font>
    <font>
      <sz val="11"/>
      <color theme="1"/>
      <name val="ＭＳ ゴシック"/>
      <family val="3"/>
      <charset val="128"/>
    </font>
    <font>
      <sz val="8"/>
      <name val="ＭＳ ゴシック"/>
      <family val="3"/>
      <charset val="128"/>
    </font>
    <font>
      <sz val="6"/>
      <name val="ＭＳ ゴシック"/>
      <family val="3"/>
      <charset val="128"/>
    </font>
    <font>
      <sz val="11"/>
      <color theme="1"/>
      <name val="Yu Gothic"/>
      <family val="2"/>
      <scheme val="minor"/>
    </font>
    <font>
      <b/>
      <sz val="15"/>
      <color theme="3"/>
      <name val="Yu Gothic"/>
      <family val="2"/>
      <charset val="128"/>
      <scheme val="minor"/>
    </font>
    <font>
      <sz val="11"/>
      <color rgb="FFFF0000"/>
      <name val="Yu Gothic"/>
      <family val="2"/>
      <charset val="128"/>
      <scheme val="minor"/>
    </font>
    <font>
      <sz val="10"/>
      <name val="ＭＳ ゴシック"/>
      <family val="3"/>
      <charset val="128"/>
    </font>
    <font>
      <sz val="9"/>
      <color rgb="FFFF0000"/>
      <name val="ＭＳ ゴシック"/>
      <family val="3"/>
      <charset val="128"/>
    </font>
    <font>
      <sz val="9"/>
      <color indexed="81"/>
      <name val="MS P ゴシック"/>
      <family val="3"/>
      <charset val="128"/>
    </font>
    <font>
      <sz val="9"/>
      <color theme="1"/>
      <name val="ＭＳ Ｐ明朝"/>
      <family val="1"/>
      <charset val="128"/>
    </font>
    <font>
      <sz val="10"/>
      <color theme="1"/>
      <name val="ＭＳ Ｐ明朝"/>
      <family val="1"/>
      <charset val="128"/>
    </font>
    <font>
      <b/>
      <sz val="9"/>
      <color theme="1"/>
      <name val="ＭＳ Ｐゴシック"/>
      <family val="3"/>
      <charset val="128"/>
    </font>
    <font>
      <b/>
      <sz val="9"/>
      <color theme="1"/>
      <name val="ＭＳ 明朝"/>
      <family val="1"/>
      <charset val="128"/>
    </font>
    <font>
      <sz val="9"/>
      <color theme="1"/>
      <name val="ＭＳ 明朝"/>
      <family val="1"/>
      <charset val="128"/>
    </font>
    <font>
      <b/>
      <sz val="9"/>
      <color rgb="FFFF0000"/>
      <name val="ＭＳ Ｐゴシック"/>
      <family val="3"/>
      <charset val="128"/>
    </font>
    <font>
      <sz val="14"/>
      <color theme="1"/>
      <name val="ＭＳ Ｐゴシック"/>
      <family val="3"/>
      <charset val="128"/>
    </font>
    <font>
      <sz val="8"/>
      <color theme="1"/>
      <name val="ＭＳ ゴシック"/>
      <family val="3"/>
      <charset val="128"/>
    </font>
    <font>
      <strike/>
      <sz val="9"/>
      <color rgb="FFFF0000"/>
      <name val="ＭＳ ゴシック"/>
      <family val="3"/>
      <charset val="128"/>
    </font>
    <font>
      <strike/>
      <sz val="9"/>
      <name val="ＭＳ ゴシック"/>
      <family val="3"/>
      <charset val="128"/>
    </font>
    <font>
      <sz val="8.5"/>
      <name val="ＭＳ ゴシック"/>
      <family val="3"/>
      <charset val="128"/>
    </font>
    <font>
      <sz val="11"/>
      <name val="メイリオ"/>
      <family val="3"/>
      <charset val="128"/>
    </font>
    <font>
      <sz val="12"/>
      <name val="ＭＳ Ｐ明朝"/>
      <family val="1"/>
      <charset val="128"/>
    </font>
    <font>
      <sz val="16"/>
      <name val="ＭＳ ゴシック"/>
      <family val="3"/>
      <charset val="128"/>
    </font>
    <font>
      <b/>
      <sz val="36"/>
      <name val="HG明朝E"/>
      <family val="1"/>
      <charset val="128"/>
    </font>
    <font>
      <sz val="6"/>
      <name val="ＭＳ Ｐ明朝"/>
      <family val="1"/>
      <charset val="128"/>
    </font>
    <font>
      <sz val="14"/>
      <name val="ＭＳ Ｐ明朝"/>
      <family val="1"/>
      <charset val="128"/>
    </font>
    <font>
      <strike/>
      <sz val="13"/>
      <name val="ＭＳ ゴシック"/>
      <family val="3"/>
      <charset val="128"/>
    </font>
    <font>
      <sz val="13"/>
      <name val="ＭＳ Ｐ明朝"/>
      <family val="1"/>
      <charset val="128"/>
    </font>
    <font>
      <sz val="11"/>
      <color theme="1"/>
      <name val="ＭＳ Ｐ明朝"/>
      <family val="1"/>
      <charset val="128"/>
    </font>
    <font>
      <sz val="12"/>
      <name val="ＭＳ Ｐゴシック"/>
      <family val="3"/>
      <charset val="128"/>
    </font>
    <font>
      <b/>
      <sz val="14"/>
      <color theme="1"/>
      <name val="Yu Gothic"/>
      <family val="3"/>
      <charset val="128"/>
      <scheme val="minor"/>
    </font>
    <font>
      <sz val="12"/>
      <color theme="1"/>
      <name val="Yu Gothic"/>
      <family val="2"/>
      <scheme val="minor"/>
    </font>
    <font>
      <sz val="12"/>
      <color theme="1"/>
      <name val="Yu Gothic"/>
      <family val="3"/>
      <charset val="128"/>
      <scheme val="minor"/>
    </font>
    <font>
      <b/>
      <sz val="16"/>
      <color theme="1"/>
      <name val="Yu Gothic"/>
      <family val="3"/>
      <charset val="128"/>
      <scheme val="minor"/>
    </font>
    <font>
      <b/>
      <sz val="14"/>
      <name val="ＭＳ Ｐゴシック"/>
      <family val="3"/>
      <charset val="128"/>
    </font>
    <font>
      <sz val="10"/>
      <name val="ＭＳ Ｐゴシック"/>
      <family val="3"/>
      <charset val="128"/>
    </font>
    <font>
      <u/>
      <sz val="11"/>
      <color theme="10"/>
      <name val="Yu Gothic"/>
      <family val="2"/>
      <scheme val="minor"/>
    </font>
    <font>
      <sz val="48"/>
      <color theme="1"/>
      <name val="ＭＳ 明朝"/>
      <family val="1"/>
      <charset val="128"/>
    </font>
    <font>
      <sz val="28"/>
      <color theme="1"/>
      <name val="ＭＳ 明朝"/>
      <family val="1"/>
      <charset val="128"/>
    </font>
    <font>
      <b/>
      <sz val="11"/>
      <color theme="1"/>
      <name val="Yu Gothic"/>
      <family val="3"/>
      <charset val="128"/>
      <scheme val="minor"/>
    </font>
    <font>
      <sz val="9"/>
      <color indexed="81"/>
      <name val="ＭＳ Ｐゴシック"/>
      <family val="3"/>
      <charset val="128"/>
    </font>
    <font>
      <sz val="10"/>
      <color theme="1"/>
      <name val="Yu Gothic"/>
      <family val="3"/>
      <charset val="128"/>
      <scheme val="minor"/>
    </font>
    <font>
      <sz val="9"/>
      <color theme="1"/>
      <name val="Yu Gothic"/>
      <family val="3"/>
      <charset val="128"/>
      <scheme val="minor"/>
    </font>
    <font>
      <sz val="10"/>
      <color theme="1"/>
      <name val="ＭＳ Ｐゴシック"/>
      <family val="3"/>
      <charset val="128"/>
    </font>
    <font>
      <sz val="8"/>
      <name val="ＭＳ Ｐゴシック"/>
      <family val="3"/>
      <charset val="128"/>
    </font>
    <font>
      <sz val="8"/>
      <color theme="1"/>
      <name val="ＭＳ Ｐゴシック"/>
      <family val="3"/>
      <charset val="128"/>
    </font>
    <font>
      <sz val="9"/>
      <color indexed="9"/>
      <name val="ＭＳ ゴシック"/>
      <family val="3"/>
      <charset val="128"/>
    </font>
    <font>
      <sz val="14"/>
      <color indexed="8"/>
      <name val="ＭＳ ゴシック"/>
      <family val="3"/>
      <charset val="128"/>
    </font>
    <font>
      <sz val="7.5"/>
      <name val="ＭＳ ゴシック"/>
      <family val="3"/>
      <charset val="128"/>
    </font>
    <font>
      <sz val="8"/>
      <color indexed="8"/>
      <name val="ＭＳ ゴシック"/>
      <family val="3"/>
      <charset val="128"/>
    </font>
    <font>
      <sz val="11"/>
      <name val="Yu Gothic"/>
      <family val="2"/>
      <scheme val="minor"/>
    </font>
    <font>
      <sz val="10.5"/>
      <name val="ＭＳ ゴシック"/>
      <family val="3"/>
      <charset val="128"/>
    </font>
    <font>
      <sz val="9.5"/>
      <name val="ＭＳ ゴシック"/>
      <family val="3"/>
      <charset val="128"/>
    </font>
    <font>
      <vertAlign val="superscript"/>
      <sz val="11"/>
      <name val="ＭＳ 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0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diagonalDown="1">
      <left/>
      <right style="thin">
        <color indexed="64"/>
      </right>
      <top style="medium">
        <color indexed="64"/>
      </top>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left/>
      <right/>
      <top style="hair">
        <color indexed="64"/>
      </top>
      <bottom/>
      <diagonal/>
    </border>
    <border diagonalDown="1">
      <left/>
      <right/>
      <top style="medium">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diagonalDown="1">
      <left/>
      <right/>
      <top style="medium">
        <color indexed="64"/>
      </top>
      <bottom/>
      <diagonal style="thin">
        <color indexed="64"/>
      </diagonal>
    </border>
    <border>
      <left style="medium">
        <color indexed="64"/>
      </left>
      <right/>
      <top style="medium">
        <color indexed="64"/>
      </top>
      <bottom style="thin">
        <color indexed="64"/>
      </bottom>
      <diagonal/>
    </border>
    <border diagonalDown="1">
      <left/>
      <right style="thin">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s>
  <cellStyleXfs count="17">
    <xf numFmtId="0" fontId="0" fillId="0" borderId="0"/>
    <xf numFmtId="0" fontId="2" fillId="0" borderId="0"/>
    <xf numFmtId="38" fontId="2" fillId="0" borderId="0" applyFont="0" applyFill="0" applyBorder="0" applyAlignment="0" applyProtection="0"/>
    <xf numFmtId="0" fontId="13" fillId="0" borderId="0" applyNumberFormat="0" applyFill="0" applyBorder="0" applyAlignment="0" applyProtection="0"/>
    <xf numFmtId="9" fontId="2" fillId="0" borderId="0" applyFont="0" applyFill="0" applyBorder="0" applyAlignment="0" applyProtection="0"/>
    <xf numFmtId="0" fontId="21" fillId="0" borderId="0"/>
    <xf numFmtId="0" fontId="1" fillId="0" borderId="0">
      <alignment vertical="center"/>
    </xf>
    <xf numFmtId="0" fontId="2" fillId="0" borderId="0"/>
    <xf numFmtId="0" fontId="2" fillId="0" borderId="0"/>
    <xf numFmtId="38" fontId="30" fillId="0" borderId="0" applyFont="0" applyFill="0" applyBorder="0" applyAlignment="0" applyProtection="0">
      <alignment vertical="center"/>
    </xf>
    <xf numFmtId="0" fontId="6" fillId="0" borderId="0"/>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48" fillId="0" borderId="0"/>
    <xf numFmtId="0" fontId="63" fillId="0" borderId="0" applyNumberFormat="0" applyFill="0" applyBorder="0" applyAlignment="0" applyProtection="0"/>
    <xf numFmtId="9" fontId="30" fillId="0" borderId="0" applyFont="0" applyFill="0" applyBorder="0" applyAlignment="0" applyProtection="0">
      <alignment vertical="center"/>
    </xf>
  </cellStyleXfs>
  <cellXfs count="2915">
    <xf numFmtId="0" fontId="0" fillId="0" borderId="0" xfId="0"/>
    <xf numFmtId="0" fontId="3" fillId="0" borderId="0" xfId="1" applyFont="1" applyAlignment="1">
      <alignment vertical="center"/>
    </xf>
    <xf numFmtId="0" fontId="6" fillId="0" borderId="0" xfId="1" applyFont="1" applyAlignment="1">
      <alignment vertical="center"/>
    </xf>
    <xf numFmtId="0" fontId="7" fillId="0" borderId="0" xfId="1" applyFont="1" applyAlignment="1">
      <alignment horizontal="right"/>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2" xfId="1" applyFont="1" applyBorder="1" applyAlignment="1">
      <alignment horizontal="center" vertical="center"/>
    </xf>
    <xf numFmtId="0" fontId="7" fillId="0" borderId="0" xfId="1" applyFont="1" applyAlignment="1">
      <alignment vertical="center"/>
    </xf>
    <xf numFmtId="0" fontId="9" fillId="0" borderId="0" xfId="1" applyFont="1"/>
    <xf numFmtId="0" fontId="9" fillId="0" borderId="0" xfId="1" applyFont="1" applyAlignment="1">
      <alignment horizontal="right"/>
    </xf>
    <xf numFmtId="0" fontId="9" fillId="0" borderId="13" xfId="1" applyFont="1" applyBorder="1"/>
    <xf numFmtId="0" fontId="9" fillId="0" borderId="14" xfId="1" applyFont="1" applyBorder="1" applyAlignment="1">
      <alignment horizontal="distributed" vertical="center"/>
    </xf>
    <xf numFmtId="0" fontId="9" fillId="0" borderId="15" xfId="1" applyFont="1" applyBorder="1" applyAlignment="1">
      <alignment horizontal="distributed" vertical="center"/>
    </xf>
    <xf numFmtId="0" fontId="9" fillId="0" borderId="16" xfId="1" applyFont="1" applyBorder="1" applyAlignment="1">
      <alignment horizontal="distributed" vertical="center"/>
    </xf>
    <xf numFmtId="0" fontId="9" fillId="0" borderId="17" xfId="1" applyFont="1" applyBorder="1"/>
    <xf numFmtId="49" fontId="9" fillId="0" borderId="18" xfId="1" applyNumberFormat="1" applyFont="1" applyBorder="1" applyAlignment="1">
      <alignment horizontal="distributed" vertical="distributed"/>
    </xf>
    <xf numFmtId="176" fontId="9" fillId="0" borderId="19" xfId="1" applyNumberFormat="1" applyFont="1" applyBorder="1" applyAlignment="1">
      <alignment vertical="center"/>
    </xf>
    <xf numFmtId="176" fontId="9" fillId="0" borderId="20" xfId="1" applyNumberFormat="1" applyFont="1" applyBorder="1" applyAlignment="1">
      <alignment horizontal="right" vertical="center"/>
    </xf>
    <xf numFmtId="0" fontId="9" fillId="0" borderId="10" xfId="1" applyFont="1" applyBorder="1"/>
    <xf numFmtId="49" fontId="9" fillId="0" borderId="11" xfId="1" applyNumberFormat="1" applyFont="1" applyBorder="1" applyAlignment="1">
      <alignment horizontal="distributed" vertical="distributed"/>
    </xf>
    <xf numFmtId="177" fontId="9" fillId="0" borderId="21" xfId="1" applyNumberFormat="1" applyFont="1" applyBorder="1" applyAlignment="1">
      <alignment vertical="center"/>
    </xf>
    <xf numFmtId="177" fontId="9" fillId="0" borderId="12" xfId="1" applyNumberFormat="1" applyFont="1" applyBorder="1" applyAlignment="1">
      <alignment vertical="center"/>
    </xf>
    <xf numFmtId="49" fontId="9" fillId="0" borderId="22" xfId="1" applyNumberFormat="1" applyFont="1" applyBorder="1" applyAlignment="1">
      <alignment horizontal="distributed" vertical="distributed"/>
    </xf>
    <xf numFmtId="176" fontId="9" fillId="0" borderId="23" xfId="1" applyNumberFormat="1" applyFont="1" applyBorder="1" applyAlignment="1">
      <alignment vertical="center"/>
    </xf>
    <xf numFmtId="176" fontId="9" fillId="0" borderId="24" xfId="1" applyNumberFormat="1" applyFont="1" applyBorder="1" applyAlignment="1">
      <alignment vertical="center"/>
    </xf>
    <xf numFmtId="0" fontId="9" fillId="0" borderId="0" xfId="1" applyFont="1" applyAlignment="1">
      <alignment vertical="center"/>
    </xf>
    <xf numFmtId="0" fontId="2" fillId="0" borderId="0" xfId="1"/>
    <xf numFmtId="0" fontId="10" fillId="0" borderId="0" xfId="1" applyFont="1" applyAlignment="1">
      <alignment horizontal="left" vertical="center"/>
    </xf>
    <xf numFmtId="0" fontId="7" fillId="0" borderId="1" xfId="1" applyFont="1" applyBorder="1" applyAlignment="1">
      <alignment horizontal="center" vertical="center"/>
    </xf>
    <xf numFmtId="0" fontId="7" fillId="0" borderId="20" xfId="1" applyFont="1" applyBorder="1" applyAlignment="1">
      <alignment horizontal="right" vertical="center"/>
    </xf>
    <xf numFmtId="0" fontId="7" fillId="0" borderId="18" xfId="1" applyFont="1" applyBorder="1" applyAlignment="1">
      <alignment horizontal="right" vertical="center"/>
    </xf>
    <xf numFmtId="0" fontId="7" fillId="0" borderId="27" xfId="1" applyFont="1" applyBorder="1" applyAlignment="1">
      <alignment horizontal="right" vertical="center"/>
    </xf>
    <xf numFmtId="0" fontId="7" fillId="0" borderId="0" xfId="1" applyFont="1" applyAlignment="1">
      <alignment horizontal="right" vertical="center"/>
    </xf>
    <xf numFmtId="0" fontId="7" fillId="0" borderId="20" xfId="1" applyFont="1" applyBorder="1" applyAlignment="1">
      <alignment horizontal="center" vertical="center"/>
    </xf>
    <xf numFmtId="0" fontId="7" fillId="0" borderId="32" xfId="1" applyFont="1" applyBorder="1" applyAlignment="1">
      <alignment horizontal="right" vertical="center"/>
    </xf>
    <xf numFmtId="0" fontId="7" fillId="0" borderId="26" xfId="1" applyFont="1" applyBorder="1" applyAlignment="1">
      <alignment horizontal="right" vertical="center"/>
    </xf>
    <xf numFmtId="0" fontId="7" fillId="0" borderId="18" xfId="1" applyFont="1" applyBorder="1" applyAlignment="1">
      <alignment horizontal="center" vertical="center"/>
    </xf>
    <xf numFmtId="178" fontId="7" fillId="0" borderId="20" xfId="1" applyNumberFormat="1" applyFont="1" applyBorder="1" applyAlignment="1">
      <alignment horizontal="right" vertical="center"/>
    </xf>
    <xf numFmtId="178" fontId="7" fillId="0" borderId="18" xfId="1" applyNumberFormat="1" applyFont="1" applyBorder="1" applyAlignment="1">
      <alignment horizontal="center" vertical="center"/>
    </xf>
    <xf numFmtId="178" fontId="7" fillId="0" borderId="0" xfId="1" applyNumberFormat="1" applyFont="1" applyAlignment="1">
      <alignment horizontal="right" vertical="center"/>
    </xf>
    <xf numFmtId="179" fontId="7" fillId="0" borderId="20" xfId="1" applyNumberFormat="1" applyFont="1" applyBorder="1" applyAlignment="1">
      <alignment horizontal="right" vertical="center"/>
    </xf>
    <xf numFmtId="179" fontId="7" fillId="0" borderId="18" xfId="1" applyNumberFormat="1" applyFont="1" applyBorder="1" applyAlignment="1">
      <alignment horizontal="center" vertical="center"/>
    </xf>
    <xf numFmtId="179" fontId="7" fillId="0" borderId="0" xfId="1" applyNumberFormat="1" applyFont="1" applyAlignment="1">
      <alignment horizontal="right" vertical="center"/>
    </xf>
    <xf numFmtId="178" fontId="7" fillId="0" borderId="19" xfId="1" applyNumberFormat="1" applyFont="1" applyBorder="1" applyAlignment="1">
      <alignment horizontal="center" vertical="center"/>
    </xf>
    <xf numFmtId="178" fontId="7" fillId="0" borderId="20" xfId="2" applyNumberFormat="1" applyFont="1" applyBorder="1" applyAlignment="1">
      <alignment horizontal="right" vertical="center"/>
    </xf>
    <xf numFmtId="180" fontId="7" fillId="0" borderId="18" xfId="2" applyNumberFormat="1" applyFont="1" applyBorder="1" applyAlignment="1">
      <alignment horizontal="center" vertical="center"/>
    </xf>
    <xf numFmtId="180" fontId="7" fillId="0" borderId="0" xfId="1" applyNumberFormat="1" applyFont="1" applyAlignment="1">
      <alignment horizontal="center" vertical="center"/>
    </xf>
    <xf numFmtId="178" fontId="7" fillId="0" borderId="20" xfId="2" applyNumberFormat="1" applyFont="1" applyBorder="1" applyAlignment="1">
      <alignment horizontal="center" vertical="center"/>
    </xf>
    <xf numFmtId="180" fontId="7" fillId="0" borderId="18" xfId="1" applyNumberFormat="1" applyFont="1" applyBorder="1" applyAlignment="1">
      <alignment horizontal="center" vertical="center"/>
    </xf>
    <xf numFmtId="0" fontId="11" fillId="0" borderId="18" xfId="1" applyFont="1" applyBorder="1" applyAlignment="1">
      <alignment horizontal="center" vertical="center"/>
    </xf>
    <xf numFmtId="178" fontId="11" fillId="0" borderId="20" xfId="1" applyNumberFormat="1" applyFont="1" applyBorder="1" applyAlignment="1">
      <alignment horizontal="right" vertical="center"/>
    </xf>
    <xf numFmtId="178" fontId="11" fillId="0" borderId="18" xfId="1" applyNumberFormat="1" applyFont="1" applyBorder="1" applyAlignment="1">
      <alignment horizontal="center" vertical="center"/>
    </xf>
    <xf numFmtId="178" fontId="11" fillId="0" borderId="0" xfId="1" applyNumberFormat="1" applyFont="1" applyAlignment="1">
      <alignment horizontal="right" vertical="center"/>
    </xf>
    <xf numFmtId="179" fontId="11" fillId="0" borderId="18" xfId="1" applyNumberFormat="1" applyFont="1" applyBorder="1" applyAlignment="1">
      <alignment horizontal="center" vertical="center"/>
    </xf>
    <xf numFmtId="178" fontId="11" fillId="0" borderId="20" xfId="2" applyNumberFormat="1" applyFont="1" applyBorder="1" applyAlignment="1">
      <alignment horizontal="right" vertical="center"/>
    </xf>
    <xf numFmtId="180" fontId="11" fillId="0" borderId="18" xfId="2" applyNumberFormat="1" applyFont="1" applyBorder="1" applyAlignment="1">
      <alignment horizontal="center" vertical="center"/>
    </xf>
    <xf numFmtId="180" fontId="11" fillId="0" borderId="18" xfId="1" applyNumberFormat="1" applyFont="1" applyBorder="1" applyAlignment="1">
      <alignment horizontal="center" vertical="center"/>
    </xf>
    <xf numFmtId="178" fontId="11" fillId="0" borderId="20" xfId="2" applyNumberFormat="1" applyFont="1" applyBorder="1" applyAlignment="1">
      <alignment horizontal="center" vertical="center"/>
    </xf>
    <xf numFmtId="178" fontId="11" fillId="0" borderId="20" xfId="2" applyNumberFormat="1" applyFont="1" applyFill="1" applyBorder="1" applyAlignment="1">
      <alignment horizontal="right" vertical="center"/>
    </xf>
    <xf numFmtId="180" fontId="11" fillId="0" borderId="18" xfId="2" applyNumberFormat="1" applyFont="1" applyFill="1" applyBorder="1" applyAlignment="1">
      <alignment horizontal="center" vertical="center"/>
    </xf>
    <xf numFmtId="178" fontId="11" fillId="0" borderId="20" xfId="2" applyNumberFormat="1" applyFont="1" applyFill="1" applyBorder="1" applyAlignment="1">
      <alignment horizontal="center" vertical="center"/>
    </xf>
    <xf numFmtId="0" fontId="11" fillId="0" borderId="11" xfId="1" applyFont="1" applyBorder="1" applyAlignment="1">
      <alignment horizontal="center" vertical="center"/>
    </xf>
    <xf numFmtId="178" fontId="11" fillId="0" borderId="12" xfId="1" applyNumberFormat="1" applyFont="1" applyBorder="1" applyAlignment="1">
      <alignment horizontal="right" vertical="center"/>
    </xf>
    <xf numFmtId="178" fontId="11" fillId="0" borderId="11" xfId="1" applyNumberFormat="1" applyFont="1" applyBorder="1" applyAlignment="1">
      <alignment horizontal="center" vertical="center"/>
    </xf>
    <xf numFmtId="178" fontId="11" fillId="0" borderId="10" xfId="1" applyNumberFormat="1" applyFont="1" applyBorder="1" applyAlignment="1">
      <alignment horizontal="right" vertical="center"/>
    </xf>
    <xf numFmtId="179" fontId="11" fillId="0" borderId="11" xfId="1" applyNumberFormat="1" applyFont="1" applyBorder="1" applyAlignment="1">
      <alignment horizontal="center" vertical="center"/>
    </xf>
    <xf numFmtId="178" fontId="11" fillId="0" borderId="12" xfId="2" applyNumberFormat="1" applyFont="1" applyFill="1" applyBorder="1" applyAlignment="1">
      <alignment horizontal="right" vertical="center"/>
    </xf>
    <xf numFmtId="180" fontId="11" fillId="0" borderId="11" xfId="2" applyNumberFormat="1" applyFont="1" applyFill="1" applyBorder="1" applyAlignment="1">
      <alignment horizontal="center" vertical="center"/>
    </xf>
    <xf numFmtId="180" fontId="11" fillId="0" borderId="11" xfId="1" applyNumberFormat="1" applyFont="1" applyBorder="1" applyAlignment="1">
      <alignment horizontal="center" vertical="center"/>
    </xf>
    <xf numFmtId="178" fontId="11" fillId="0" borderId="12" xfId="2" applyNumberFormat="1" applyFont="1" applyFill="1" applyBorder="1" applyAlignment="1">
      <alignment horizontal="center" vertical="center"/>
    </xf>
    <xf numFmtId="178" fontId="7" fillId="0" borderId="0" xfId="1" applyNumberFormat="1" applyFont="1" applyAlignment="1">
      <alignment horizontal="center" vertical="center"/>
    </xf>
    <xf numFmtId="179" fontId="7" fillId="0" borderId="0" xfId="1" applyNumberFormat="1" applyFont="1" applyAlignment="1">
      <alignment horizontal="center" vertical="center"/>
    </xf>
    <xf numFmtId="180" fontId="7" fillId="0" borderId="0" xfId="2" applyNumberFormat="1" applyFont="1" applyBorder="1" applyAlignment="1">
      <alignment horizontal="right" vertical="center"/>
    </xf>
    <xf numFmtId="180" fontId="7" fillId="0" borderId="0" xfId="2" applyNumberFormat="1" applyFont="1" applyBorder="1" applyAlignment="1">
      <alignment horizontal="center" vertical="center"/>
    </xf>
    <xf numFmtId="180" fontId="7" fillId="0" borderId="0" xfId="1" applyNumberFormat="1" applyFont="1" applyAlignment="1">
      <alignment horizontal="right" vertical="center"/>
    </xf>
    <xf numFmtId="0" fontId="7" fillId="0" borderId="0" xfId="1" applyFont="1" applyAlignment="1">
      <alignment horizontal="center" vertical="center"/>
    </xf>
    <xf numFmtId="180" fontId="7" fillId="0" borderId="20" xfId="2" applyNumberFormat="1" applyFont="1" applyBorder="1" applyAlignment="1">
      <alignment horizontal="right" vertical="center"/>
    </xf>
    <xf numFmtId="180" fontId="7" fillId="0" borderId="20" xfId="2" applyNumberFormat="1" applyFont="1" applyBorder="1" applyAlignment="1">
      <alignment horizontal="center" vertical="center"/>
    </xf>
    <xf numFmtId="0" fontId="2" fillId="0" borderId="0" xfId="1" applyAlignment="1">
      <alignment vertical="center"/>
    </xf>
    <xf numFmtId="0" fontId="7" fillId="0" borderId="0" xfId="1" applyFont="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vertical="center"/>
    </xf>
    <xf numFmtId="0" fontId="7" fillId="0" borderId="28" xfId="1" applyFont="1" applyBorder="1" applyAlignment="1">
      <alignment horizontal="right" vertical="center"/>
    </xf>
    <xf numFmtId="0" fontId="7" fillId="0" borderId="28" xfId="1" applyFont="1" applyBorder="1" applyAlignment="1">
      <alignment horizontal="center" vertical="center"/>
    </xf>
    <xf numFmtId="0" fontId="7" fillId="0" borderId="19" xfId="1" applyFont="1" applyBorder="1" applyAlignment="1">
      <alignment horizontal="center" vertical="center"/>
    </xf>
    <xf numFmtId="181" fontId="7" fillId="0" borderId="19" xfId="1" applyNumberFormat="1" applyFont="1" applyBorder="1" applyAlignment="1">
      <alignment horizontal="center" vertical="center"/>
    </xf>
    <xf numFmtId="181" fontId="7" fillId="0" borderId="0" xfId="1" applyNumberFormat="1" applyFont="1" applyAlignment="1">
      <alignment horizontal="center" vertical="center"/>
    </xf>
    <xf numFmtId="49" fontId="7" fillId="0" borderId="19" xfId="1" applyNumberFormat="1" applyFont="1" applyBorder="1" applyAlignment="1">
      <alignment horizontal="center" vertical="center"/>
    </xf>
    <xf numFmtId="0" fontId="7" fillId="0" borderId="10" xfId="1" applyFont="1" applyBorder="1" applyAlignment="1">
      <alignment horizontal="center" vertical="center"/>
    </xf>
    <xf numFmtId="0" fontId="7" fillId="0" borderId="17" xfId="1" applyFont="1" applyBorder="1" applyAlignment="1">
      <alignment vertical="center"/>
    </xf>
    <xf numFmtId="0" fontId="13" fillId="0" borderId="0" xfId="3" applyAlignment="1">
      <alignment vertical="center"/>
    </xf>
    <xf numFmtId="0" fontId="3" fillId="0" borderId="0" xfId="1" applyFont="1" applyAlignment="1">
      <alignment horizontal="left" vertical="center"/>
    </xf>
    <xf numFmtId="0" fontId="3" fillId="0" borderId="0" xfId="1" applyFont="1" applyAlignment="1">
      <alignment horizontal="left"/>
    </xf>
    <xf numFmtId="0" fontId="7" fillId="0" borderId="18" xfId="1" applyFont="1" applyBorder="1" applyAlignment="1">
      <alignment vertical="center"/>
    </xf>
    <xf numFmtId="0" fontId="7" fillId="0" borderId="19" xfId="1" applyFont="1" applyBorder="1" applyAlignment="1">
      <alignment horizontal="right" vertical="center"/>
    </xf>
    <xf numFmtId="182" fontId="7" fillId="0" borderId="19" xfId="2" applyNumberFormat="1" applyFont="1" applyBorder="1" applyAlignment="1">
      <alignment horizontal="center" vertical="center"/>
    </xf>
    <xf numFmtId="182" fontId="7" fillId="0" borderId="0" xfId="2" applyNumberFormat="1" applyFont="1" applyBorder="1" applyAlignment="1">
      <alignment horizontal="center" vertical="center"/>
    </xf>
    <xf numFmtId="182" fontId="7" fillId="0" borderId="19" xfId="1" applyNumberFormat="1" applyFont="1" applyBorder="1" applyAlignment="1">
      <alignment horizontal="center" vertical="center"/>
    </xf>
    <xf numFmtId="182" fontId="7" fillId="0" borderId="0" xfId="1" applyNumberFormat="1" applyFont="1" applyAlignment="1">
      <alignment horizontal="center" vertical="center"/>
    </xf>
    <xf numFmtId="0" fontId="7" fillId="0" borderId="17" xfId="1" applyFont="1" applyBorder="1" applyAlignment="1">
      <alignment vertical="center"/>
    </xf>
    <xf numFmtId="182" fontId="7" fillId="0" borderId="0" xfId="1" applyNumberFormat="1" applyFont="1" applyAlignment="1">
      <alignment vertical="center"/>
    </xf>
    <xf numFmtId="0" fontId="7" fillId="0" borderId="22" xfId="1" applyFont="1" applyBorder="1" applyAlignment="1">
      <alignment horizontal="center" vertical="center"/>
    </xf>
    <xf numFmtId="0" fontId="7" fillId="0" borderId="28" xfId="1" applyFont="1" applyBorder="1" applyAlignment="1">
      <alignment horizontal="center" vertical="center" wrapText="1"/>
    </xf>
    <xf numFmtId="0" fontId="7" fillId="0" borderId="19" xfId="1" applyFont="1" applyBorder="1" applyAlignment="1">
      <alignment horizontal="center" vertical="center" wrapText="1"/>
    </xf>
    <xf numFmtId="0" fontId="2" fillId="0" borderId="29" xfId="1" applyBorder="1" applyAlignment="1">
      <alignment horizontal="center" vertical="center"/>
    </xf>
    <xf numFmtId="0" fontId="14" fillId="0" borderId="31" xfId="1" applyFont="1" applyBorder="1" applyAlignment="1">
      <alignment horizontal="center" vertical="center" wrapText="1"/>
    </xf>
    <xf numFmtId="0" fontId="14" fillId="0" borderId="31" xfId="1" applyFont="1" applyBorder="1" applyAlignment="1">
      <alignment horizontal="center" vertical="center"/>
    </xf>
    <xf numFmtId="38" fontId="7" fillId="0" borderId="19" xfId="2" applyFont="1" applyBorder="1" applyAlignment="1">
      <alignment vertical="center"/>
    </xf>
    <xf numFmtId="38" fontId="7" fillId="0" borderId="19" xfId="2" applyFont="1" applyBorder="1" applyAlignment="1">
      <alignment horizontal="right" vertical="center"/>
    </xf>
    <xf numFmtId="183" fontId="7" fillId="0" borderId="19" xfId="1" applyNumberFormat="1" applyFont="1" applyBorder="1" applyAlignment="1">
      <alignment horizontal="center" vertical="center"/>
    </xf>
    <xf numFmtId="183" fontId="15" fillId="0" borderId="19" xfId="1" applyNumberFormat="1" applyFont="1" applyBorder="1" applyAlignment="1">
      <alignment horizontal="center" vertical="center"/>
    </xf>
    <xf numFmtId="183" fontId="7" fillId="0" borderId="19" xfId="1" applyNumberFormat="1" applyFont="1" applyBorder="1" applyAlignment="1">
      <alignment vertical="center"/>
    </xf>
    <xf numFmtId="183" fontId="7" fillId="0" borderId="20" xfId="1" applyNumberFormat="1" applyFont="1" applyBorder="1" applyAlignment="1">
      <alignment vertical="center"/>
    </xf>
    <xf numFmtId="38" fontId="15" fillId="0" borderId="19" xfId="2" applyFont="1" applyBorder="1" applyAlignment="1">
      <alignment vertical="center"/>
    </xf>
    <xf numFmtId="38" fontId="15" fillId="0" borderId="19" xfId="2" applyFont="1" applyBorder="1" applyAlignment="1">
      <alignment horizontal="right" vertical="center"/>
    </xf>
    <xf numFmtId="38" fontId="7" fillId="0" borderId="21" xfId="2" applyFont="1" applyBorder="1" applyAlignment="1">
      <alignment vertical="center"/>
    </xf>
    <xf numFmtId="38" fontId="7" fillId="0" borderId="21" xfId="2" applyFont="1" applyBorder="1" applyAlignment="1">
      <alignment horizontal="right" vertical="center"/>
    </xf>
    <xf numFmtId="183" fontId="7" fillId="0" borderId="21" xfId="1" applyNumberFormat="1" applyFont="1" applyBorder="1" applyAlignment="1">
      <alignment horizontal="center" vertical="center"/>
    </xf>
    <xf numFmtId="183" fontId="7" fillId="0" borderId="21" xfId="1" applyNumberFormat="1" applyFont="1" applyBorder="1" applyAlignment="1">
      <alignment vertical="center"/>
    </xf>
    <xf numFmtId="183" fontId="7" fillId="0" borderId="12" xfId="1" applyNumberFormat="1" applyFont="1" applyBorder="1" applyAlignment="1">
      <alignment vertical="center"/>
    </xf>
    <xf numFmtId="38" fontId="7" fillId="0" borderId="0" xfId="2" applyFont="1" applyBorder="1" applyAlignment="1">
      <alignment vertical="center"/>
    </xf>
    <xf numFmtId="38" fontId="7" fillId="0" borderId="0" xfId="2" applyFont="1" applyBorder="1" applyAlignment="1">
      <alignment horizontal="right" vertical="center"/>
    </xf>
    <xf numFmtId="184" fontId="7" fillId="0" borderId="17" xfId="1" applyNumberFormat="1" applyFont="1" applyBorder="1" applyAlignment="1">
      <alignment horizontal="center" vertical="center"/>
    </xf>
    <xf numFmtId="0" fontId="7" fillId="0" borderId="17" xfId="1" applyFont="1" applyBorder="1" applyAlignment="1">
      <alignment horizontal="center" vertical="center"/>
    </xf>
    <xf numFmtId="184" fontId="7" fillId="0" borderId="17" xfId="1" applyNumberFormat="1" applyFont="1" applyBorder="1" applyAlignment="1">
      <alignment vertical="center"/>
    </xf>
    <xf numFmtId="38" fontId="2" fillId="0" borderId="0" xfId="1" applyNumberFormat="1"/>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17" fillId="0" borderId="0" xfId="1" applyFont="1" applyAlignment="1">
      <alignment vertical="center"/>
    </xf>
    <xf numFmtId="0" fontId="11" fillId="0" borderId="0" xfId="1" applyFont="1" applyAlignment="1">
      <alignment horizontal="right"/>
    </xf>
    <xf numFmtId="0" fontId="11" fillId="0" borderId="0" xfId="1" applyFont="1" applyAlignment="1">
      <alignment vertical="center"/>
    </xf>
    <xf numFmtId="0" fontId="11" fillId="0" borderId="5" xfId="1" applyFont="1" applyBorder="1" applyAlignment="1">
      <alignment horizontal="distributed" vertical="center" justifyLastLine="1"/>
    </xf>
    <xf numFmtId="0" fontId="11" fillId="0" borderId="5" xfId="1" applyFont="1" applyBorder="1" applyAlignment="1">
      <alignment horizontal="center" vertical="center"/>
    </xf>
    <xf numFmtId="0" fontId="11" fillId="0" borderId="4" xfId="1" applyFont="1" applyBorder="1" applyAlignment="1">
      <alignment horizontal="center" vertical="center"/>
    </xf>
    <xf numFmtId="0" fontId="11" fillId="0" borderId="34" xfId="1" applyFont="1" applyBorder="1" applyAlignment="1">
      <alignment horizontal="center" vertical="center"/>
    </xf>
    <xf numFmtId="0" fontId="11" fillId="0" borderId="33" xfId="1" applyFont="1" applyBorder="1" applyAlignment="1">
      <alignment horizontal="center" vertical="center"/>
    </xf>
    <xf numFmtId="0" fontId="11" fillId="0" borderId="18" xfId="1" applyFont="1" applyBorder="1" applyAlignment="1">
      <alignment vertical="center"/>
    </xf>
    <xf numFmtId="0" fontId="11" fillId="0" borderId="19" xfId="1" applyFont="1" applyBorder="1" applyAlignment="1">
      <alignment horizontal="right" vertical="center"/>
    </xf>
    <xf numFmtId="0" fontId="11" fillId="0" borderId="28" xfId="1" applyFont="1" applyBorder="1" applyAlignment="1">
      <alignment horizontal="right" vertical="center"/>
    </xf>
    <xf numFmtId="0" fontId="11" fillId="0" borderId="0" xfId="1" applyFont="1" applyAlignment="1">
      <alignment horizontal="right" vertical="center"/>
    </xf>
    <xf numFmtId="182" fontId="11" fillId="0" borderId="19" xfId="2" applyNumberFormat="1" applyFont="1" applyBorder="1" applyAlignment="1">
      <alignment horizontal="center" vertical="center"/>
    </xf>
    <xf numFmtId="185" fontId="11" fillId="0" borderId="19" xfId="1" applyNumberFormat="1" applyFont="1" applyBorder="1" applyAlignment="1">
      <alignment horizontal="center" vertical="center"/>
    </xf>
    <xf numFmtId="185" fontId="11" fillId="0" borderId="19" xfId="2" applyNumberFormat="1" applyFont="1" applyBorder="1" applyAlignment="1">
      <alignment horizontal="center" vertical="center"/>
    </xf>
    <xf numFmtId="185" fontId="11" fillId="0" borderId="0" xfId="2" applyNumberFormat="1" applyFont="1" applyBorder="1" applyAlignment="1">
      <alignment horizontal="center" vertical="center"/>
    </xf>
    <xf numFmtId="185" fontId="11" fillId="0" borderId="0" xfId="2" applyNumberFormat="1" applyFont="1" applyAlignment="1">
      <alignment horizontal="center" vertical="center"/>
    </xf>
    <xf numFmtId="182" fontId="11" fillId="0" borderId="0" xfId="2" applyNumberFormat="1" applyFont="1" applyBorder="1" applyAlignment="1">
      <alignment horizontal="center" vertical="center"/>
    </xf>
    <xf numFmtId="186" fontId="11" fillId="0" borderId="18" xfId="1" applyNumberFormat="1" applyFont="1" applyBorder="1" applyAlignment="1">
      <alignment horizontal="center" vertical="center"/>
    </xf>
    <xf numFmtId="187" fontId="11" fillId="0" borderId="18" xfId="1" applyNumberFormat="1" applyFont="1" applyBorder="1" applyAlignment="1">
      <alignment horizontal="center" vertical="center"/>
    </xf>
    <xf numFmtId="186" fontId="11" fillId="0" borderId="11" xfId="1" applyNumberFormat="1" applyFont="1" applyBorder="1" applyAlignment="1">
      <alignment horizontal="center" vertical="center"/>
    </xf>
    <xf numFmtId="182" fontId="11" fillId="0" borderId="21" xfId="1" applyNumberFormat="1" applyFont="1" applyBorder="1" applyAlignment="1">
      <alignment horizontal="center" vertical="center"/>
    </xf>
    <xf numFmtId="185" fontId="11" fillId="0" borderId="21" xfId="1" applyNumberFormat="1" applyFont="1" applyBorder="1" applyAlignment="1">
      <alignment horizontal="center" vertical="center"/>
    </xf>
    <xf numFmtId="185" fontId="11" fillId="0" borderId="10" xfId="1" applyNumberFormat="1" applyFont="1" applyBorder="1" applyAlignment="1">
      <alignment horizontal="center" vertical="center"/>
    </xf>
    <xf numFmtId="185" fontId="11" fillId="0" borderId="21" xfId="2" applyNumberFormat="1" applyFont="1" applyBorder="1" applyAlignment="1">
      <alignment horizontal="center" vertical="center"/>
    </xf>
    <xf numFmtId="0" fontId="17" fillId="0" borderId="17" xfId="1" applyFont="1" applyBorder="1" applyAlignment="1">
      <alignment vertical="center"/>
    </xf>
    <xf numFmtId="0" fontId="11" fillId="0" borderId="17" xfId="1" applyFont="1" applyBorder="1" applyAlignment="1">
      <alignment vertical="center"/>
    </xf>
    <xf numFmtId="0" fontId="7" fillId="0" borderId="6" xfId="1" applyFont="1" applyBorder="1" applyAlignment="1">
      <alignment horizontal="center" vertical="center"/>
    </xf>
    <xf numFmtId="180" fontId="7" fillId="0" borderId="20" xfId="1" applyNumberFormat="1" applyFont="1" applyBorder="1" applyAlignment="1">
      <alignment horizontal="center" vertical="center"/>
    </xf>
    <xf numFmtId="180" fontId="7" fillId="0" borderId="19" xfId="1" applyNumberFormat="1" applyFont="1" applyBorder="1" applyAlignment="1">
      <alignment horizontal="center" vertical="center"/>
    </xf>
    <xf numFmtId="188" fontId="7" fillId="0" borderId="0" xfId="1" applyNumberFormat="1" applyFont="1" applyAlignment="1">
      <alignment horizontal="center" vertical="center"/>
    </xf>
    <xf numFmtId="188" fontId="11" fillId="0" borderId="0" xfId="1" applyNumberFormat="1" applyFont="1" applyAlignment="1">
      <alignment horizontal="center" vertical="center"/>
    </xf>
    <xf numFmtId="180" fontId="11" fillId="0" borderId="20" xfId="1" applyNumberFormat="1" applyFont="1" applyBorder="1" applyAlignment="1">
      <alignment horizontal="center" vertical="center"/>
    </xf>
    <xf numFmtId="180" fontId="11" fillId="0" borderId="19" xfId="1" applyNumberFormat="1" applyFont="1" applyBorder="1" applyAlignment="1">
      <alignment horizontal="center" vertical="center"/>
    </xf>
    <xf numFmtId="0" fontId="18" fillId="0" borderId="0" xfId="1" applyFont="1" applyAlignment="1">
      <alignment horizontal="center" vertical="center"/>
    </xf>
    <xf numFmtId="0" fontId="18" fillId="0" borderId="0" xfId="1" applyFont="1" applyAlignment="1">
      <alignment horizontal="right" vertical="center"/>
    </xf>
    <xf numFmtId="188" fontId="7" fillId="0" borderId="10" xfId="1" applyNumberFormat="1" applyFont="1" applyFill="1" applyBorder="1" applyAlignment="1">
      <alignment horizontal="center" vertical="center"/>
    </xf>
    <xf numFmtId="180" fontId="11" fillId="0" borderId="12" xfId="1" applyNumberFormat="1" applyFont="1" applyFill="1" applyBorder="1" applyAlignment="1">
      <alignment horizontal="center" vertical="center"/>
    </xf>
    <xf numFmtId="180" fontId="11" fillId="0" borderId="21" xfId="1" applyNumberFormat="1" applyFont="1" applyFill="1" applyBorder="1" applyAlignment="1">
      <alignment horizontal="center" vertical="center"/>
    </xf>
    <xf numFmtId="0" fontId="7" fillId="0" borderId="0" xfId="1" applyFont="1" applyFill="1" applyAlignment="1">
      <alignment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vertical="center"/>
    </xf>
    <xf numFmtId="0" fontId="7" fillId="0" borderId="42" xfId="1" applyFont="1" applyBorder="1" applyAlignment="1">
      <alignment horizontal="right" vertical="center"/>
    </xf>
    <xf numFmtId="0" fontId="7" fillId="0" borderId="43" xfId="1" applyFont="1" applyBorder="1" applyAlignment="1">
      <alignment horizontal="right" vertical="center"/>
    </xf>
    <xf numFmtId="0" fontId="7" fillId="0" borderId="41" xfId="1" applyFont="1" applyBorder="1" applyAlignment="1">
      <alignment horizontal="center" vertical="center"/>
    </xf>
    <xf numFmtId="184" fontId="7" fillId="0" borderId="0" xfId="1" applyNumberFormat="1" applyFont="1" applyAlignment="1">
      <alignment horizontal="center" vertical="center"/>
    </xf>
    <xf numFmtId="182" fontId="7" fillId="0" borderId="42" xfId="2" applyNumberFormat="1" applyFont="1" applyBorder="1" applyAlignment="1">
      <alignment horizontal="center" vertical="center"/>
    </xf>
    <xf numFmtId="184" fontId="7" fillId="0" borderId="43" xfId="1" applyNumberFormat="1" applyFont="1" applyBorder="1" applyAlignment="1">
      <alignment horizontal="center" vertical="center"/>
    </xf>
    <xf numFmtId="0" fontId="19" fillId="0" borderId="0" xfId="1" applyFont="1" applyAlignment="1">
      <alignment vertical="center"/>
    </xf>
    <xf numFmtId="38" fontId="7" fillId="0" borderId="42" xfId="2" applyFont="1" applyBorder="1" applyAlignment="1">
      <alignment horizontal="center" vertical="center"/>
    </xf>
    <xf numFmtId="183" fontId="7" fillId="0" borderId="0" xfId="1" applyNumberFormat="1" applyFont="1" applyAlignment="1">
      <alignment horizontal="center" vertical="center"/>
    </xf>
    <xf numFmtId="38" fontId="7" fillId="0" borderId="0" xfId="2" applyFont="1" applyBorder="1" applyAlignment="1">
      <alignment horizontal="center" vertical="center"/>
    </xf>
    <xf numFmtId="189" fontId="7" fillId="0" borderId="0" xfId="1" applyNumberFormat="1" applyFont="1" applyAlignment="1">
      <alignment horizontal="center" vertical="center"/>
    </xf>
    <xf numFmtId="184" fontId="7" fillId="0" borderId="44" xfId="1" applyNumberFormat="1" applyFont="1" applyBorder="1" applyAlignment="1">
      <alignment horizontal="center" vertical="center"/>
    </xf>
    <xf numFmtId="0" fontId="7" fillId="0" borderId="0" xfId="1" applyFont="1" applyAlignment="1">
      <alignment horizontal="left" vertical="center"/>
    </xf>
    <xf numFmtId="0" fontId="3" fillId="0" borderId="0" xfId="1" applyFont="1" applyAlignment="1">
      <alignment vertical="center"/>
    </xf>
    <xf numFmtId="38" fontId="7" fillId="0" borderId="0" xfId="1" applyNumberFormat="1" applyFont="1" applyAlignment="1">
      <alignment vertical="center"/>
    </xf>
    <xf numFmtId="38" fontId="7" fillId="0" borderId="18" xfId="2" applyFont="1" applyBorder="1" applyAlignment="1">
      <alignment vertical="center"/>
    </xf>
    <xf numFmtId="190" fontId="7" fillId="0" borderId="18" xfId="2" applyNumberFormat="1" applyFont="1" applyBorder="1" applyAlignment="1">
      <alignment vertical="center"/>
    </xf>
    <xf numFmtId="190" fontId="7" fillId="0" borderId="19" xfId="2" applyNumberFormat="1" applyFont="1" applyBorder="1" applyAlignment="1">
      <alignment vertical="center"/>
    </xf>
    <xf numFmtId="180" fontId="7" fillId="0" borderId="0" xfId="1" applyNumberFormat="1" applyFont="1" applyAlignment="1">
      <alignment vertical="center"/>
    </xf>
    <xf numFmtId="191" fontId="7" fillId="0" borderId="18" xfId="2" applyNumberFormat="1" applyFont="1" applyBorder="1" applyAlignment="1">
      <alignment vertical="center"/>
    </xf>
    <xf numFmtId="183" fontId="7" fillId="0" borderId="0" xfId="1" applyNumberFormat="1" applyFont="1" applyAlignment="1">
      <alignment vertical="center"/>
    </xf>
    <xf numFmtId="0" fontId="7" fillId="0" borderId="29" xfId="1" applyFont="1" applyBorder="1" applyAlignment="1">
      <alignment horizontal="center" vertical="center"/>
    </xf>
    <xf numFmtId="38" fontId="7" fillId="0" borderId="29" xfId="2" applyFont="1" applyBorder="1" applyAlignment="1">
      <alignment horizontal="right" vertical="center"/>
    </xf>
    <xf numFmtId="38" fontId="7" fillId="0" borderId="31" xfId="2" applyFont="1" applyBorder="1" applyAlignment="1">
      <alignment vertical="center"/>
    </xf>
    <xf numFmtId="38" fontId="7" fillId="0" borderId="29" xfId="2" applyFont="1" applyBorder="1" applyAlignment="1">
      <alignment vertical="center"/>
    </xf>
    <xf numFmtId="191" fontId="7" fillId="0" borderId="31" xfId="2" applyNumberFormat="1" applyFont="1" applyBorder="1" applyAlignment="1">
      <alignment vertical="center"/>
    </xf>
    <xf numFmtId="38" fontId="7" fillId="0" borderId="31" xfId="2" applyFont="1" applyBorder="1" applyAlignment="1">
      <alignment horizontal="right" vertical="center"/>
    </xf>
    <xf numFmtId="180" fontId="7" fillId="0" borderId="30" xfId="1" applyNumberFormat="1" applyFont="1" applyBorder="1" applyAlignment="1">
      <alignment vertical="center"/>
    </xf>
    <xf numFmtId="0" fontId="7" fillId="0" borderId="7" xfId="1" applyFont="1" applyBorder="1" applyAlignment="1">
      <alignment horizontal="center" vertical="center"/>
    </xf>
    <xf numFmtId="38" fontId="7" fillId="0" borderId="8" xfId="2" applyFont="1" applyBorder="1" applyAlignment="1">
      <alignment horizontal="right" vertical="center"/>
    </xf>
    <xf numFmtId="38" fontId="7" fillId="0" borderId="8" xfId="2" applyFont="1" applyBorder="1" applyAlignment="1">
      <alignment vertical="center"/>
    </xf>
    <xf numFmtId="191" fontId="7" fillId="0" borderId="8" xfId="2" applyNumberFormat="1" applyFont="1" applyBorder="1" applyAlignment="1">
      <alignment vertical="center"/>
    </xf>
    <xf numFmtId="180" fontId="7" fillId="0" borderId="9" xfId="2" applyNumberFormat="1" applyFont="1" applyBorder="1" applyAlignment="1">
      <alignment horizontal="right" vertical="center"/>
    </xf>
    <xf numFmtId="0" fontId="11" fillId="0" borderId="0" xfId="1" applyFont="1" applyAlignment="1">
      <alignment horizontal="left" vertical="center"/>
    </xf>
    <xf numFmtId="0" fontId="7" fillId="0" borderId="0" xfId="1" applyFont="1"/>
    <xf numFmtId="0" fontId="7" fillId="0" borderId="22" xfId="1" applyFont="1" applyBorder="1" applyAlignment="1">
      <alignment horizontal="right"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9" xfId="1" applyFont="1" applyBorder="1" applyAlignment="1">
      <alignment vertical="center"/>
    </xf>
    <xf numFmtId="0" fontId="7" fillId="0" borderId="31"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vertical="center"/>
    </xf>
    <xf numFmtId="0" fontId="7" fillId="0" borderId="30" xfId="1" applyFont="1" applyBorder="1" applyAlignment="1">
      <alignment vertical="center"/>
    </xf>
    <xf numFmtId="0" fontId="7" fillId="0" borderId="27" xfId="1" applyFont="1" applyBorder="1" applyAlignment="1">
      <alignment vertical="center"/>
    </xf>
    <xf numFmtId="192" fontId="7" fillId="0" borderId="20" xfId="1" applyNumberFormat="1" applyFont="1" applyBorder="1" applyAlignment="1">
      <alignment horizontal="center" vertical="center"/>
    </xf>
    <xf numFmtId="0" fontId="7" fillId="0" borderId="11" xfId="1" applyFont="1" applyBorder="1" applyAlignment="1">
      <alignment horizontal="center" vertical="center"/>
    </xf>
    <xf numFmtId="192" fontId="7" fillId="0" borderId="12" xfId="1" applyNumberFormat="1" applyFont="1" applyBorder="1" applyAlignment="1">
      <alignment horizontal="center" vertical="center"/>
    </xf>
    <xf numFmtId="192" fontId="7" fillId="0" borderId="0" xfId="1" applyNumberFormat="1" applyFont="1" applyAlignment="1">
      <alignment horizontal="center" vertical="center"/>
    </xf>
    <xf numFmtId="0" fontId="7" fillId="0" borderId="0" xfId="1" applyFont="1" applyAlignment="1">
      <alignment horizontal="right"/>
    </xf>
    <xf numFmtId="0" fontId="7" fillId="0" borderId="19" xfId="1" applyFont="1" applyBorder="1" applyAlignment="1">
      <alignment vertical="center"/>
    </xf>
    <xf numFmtId="0" fontId="7" fillId="0" borderId="26" xfId="1" applyFont="1" applyBorder="1" applyAlignment="1">
      <alignment horizontal="center" vertical="center"/>
    </xf>
    <xf numFmtId="0" fontId="7" fillId="0" borderId="28" xfId="1" applyFont="1" applyBorder="1" applyAlignment="1">
      <alignment vertical="center"/>
    </xf>
    <xf numFmtId="0" fontId="7" fillId="0" borderId="26" xfId="1" applyFont="1" applyBorder="1" applyAlignment="1">
      <alignment vertical="center"/>
    </xf>
    <xf numFmtId="38" fontId="7" fillId="0" borderId="20" xfId="2" applyFont="1" applyBorder="1" applyAlignment="1">
      <alignment horizontal="center" vertical="center"/>
    </xf>
    <xf numFmtId="38" fontId="7" fillId="0" borderId="19" xfId="2" applyFont="1" applyBorder="1" applyAlignment="1">
      <alignment horizontal="center" vertical="center"/>
    </xf>
    <xf numFmtId="2" fontId="7" fillId="0" borderId="19" xfId="1" applyNumberFormat="1" applyFont="1" applyBorder="1" applyAlignment="1">
      <alignment horizontal="center" vertical="center"/>
    </xf>
    <xf numFmtId="190" fontId="7" fillId="0" borderId="19" xfId="2" applyNumberFormat="1" applyFont="1" applyBorder="1" applyAlignment="1">
      <alignment horizontal="center" vertical="center"/>
    </xf>
    <xf numFmtId="3" fontId="7" fillId="0" borderId="20" xfId="1" applyNumberFormat="1" applyFont="1" applyBorder="1" applyAlignment="1">
      <alignment horizontal="center" vertical="center"/>
    </xf>
    <xf numFmtId="3" fontId="7" fillId="0" borderId="19" xfId="1" applyNumberFormat="1" applyFont="1" applyBorder="1" applyAlignment="1">
      <alignment horizontal="center" vertical="center"/>
    </xf>
    <xf numFmtId="193" fontId="7" fillId="0" borderId="19" xfId="1" applyNumberFormat="1" applyFont="1" applyBorder="1" applyAlignment="1">
      <alignment horizontal="center" vertical="center"/>
    </xf>
    <xf numFmtId="4" fontId="7" fillId="0" borderId="19" xfId="1" applyNumberFormat="1" applyFont="1" applyBorder="1" applyAlignment="1">
      <alignment horizontal="center" vertical="center"/>
    </xf>
    <xf numFmtId="193" fontId="7" fillId="0" borderId="0" xfId="1" applyNumberFormat="1" applyFont="1" applyAlignment="1">
      <alignment horizontal="center" vertical="center"/>
    </xf>
    <xf numFmtId="0" fontId="2" fillId="0" borderId="0" xfId="1" applyAlignment="1">
      <alignment horizontal="right" vertical="center"/>
    </xf>
    <xf numFmtId="0" fontId="7" fillId="0" borderId="0" xfId="1" applyFont="1" applyAlignment="1">
      <alignment horizontal="left" vertical="center"/>
    </xf>
    <xf numFmtId="0" fontId="7" fillId="0" borderId="24" xfId="1" applyFont="1" applyBorder="1" applyAlignment="1">
      <alignment horizontal="center" vertical="center"/>
    </xf>
    <xf numFmtId="0" fontId="7" fillId="0" borderId="20" xfId="1" applyFont="1" applyBorder="1" applyAlignment="1">
      <alignment horizontal="center" vertical="center"/>
    </xf>
    <xf numFmtId="0" fontId="7" fillId="0" borderId="30"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9" xfId="1" applyFont="1" applyBorder="1" applyAlignment="1">
      <alignment horizontal="center" vertical="center"/>
    </xf>
    <xf numFmtId="0" fontId="7" fillId="0" borderId="28" xfId="1" applyFont="1" applyBorder="1" applyAlignment="1">
      <alignment horizontal="center" vertical="center"/>
    </xf>
    <xf numFmtId="0" fontId="7" fillId="0" borderId="31" xfId="1" applyFont="1" applyBorder="1" applyAlignment="1">
      <alignment horizontal="center" vertical="center"/>
    </xf>
    <xf numFmtId="0" fontId="7" fillId="0" borderId="18" xfId="1" applyFont="1" applyBorder="1" applyAlignment="1">
      <alignment horizontal="center" vertical="center"/>
    </xf>
    <xf numFmtId="0" fontId="7" fillId="0" borderId="3" xfId="1" applyFont="1" applyBorder="1" applyAlignment="1">
      <alignment horizontal="center" vertical="center"/>
    </xf>
    <xf numFmtId="0" fontId="7" fillId="0" borderId="25" xfId="1" applyFont="1" applyBorder="1" applyAlignment="1">
      <alignment horizontal="center" vertical="center"/>
    </xf>
    <xf numFmtId="0" fontId="7" fillId="0" borderId="1" xfId="1" applyFont="1" applyBorder="1" applyAlignment="1">
      <alignment horizontal="center" vertical="center"/>
    </xf>
    <xf numFmtId="0" fontId="7" fillId="0" borderId="17" xfId="1" applyFont="1" applyBorder="1" applyAlignment="1">
      <alignment horizontal="center" vertical="center"/>
    </xf>
    <xf numFmtId="0" fontId="12" fillId="0" borderId="0" xfId="1" applyFont="1" applyAlignment="1">
      <alignment vertical="center"/>
    </xf>
    <xf numFmtId="0" fontId="7" fillId="0" borderId="0" xfId="1" applyFont="1" applyAlignment="1">
      <alignment horizontal="center" vertical="center"/>
    </xf>
    <xf numFmtId="0" fontId="7" fillId="0" borderId="33" xfId="1" applyFont="1" applyBorder="1" applyAlignment="1">
      <alignment horizontal="center" vertical="center"/>
    </xf>
    <xf numFmtId="0" fontId="7" fillId="0" borderId="28" xfId="1" applyFont="1" applyBorder="1" applyAlignment="1">
      <alignment horizontal="center" vertical="center" wrapText="1"/>
    </xf>
    <xf numFmtId="0" fontId="7" fillId="0" borderId="19" xfId="1" applyFont="1" applyBorder="1" applyAlignment="1">
      <alignment horizontal="center" vertical="center"/>
    </xf>
    <xf numFmtId="0" fontId="7" fillId="0" borderId="23" xfId="1" applyFont="1" applyBorder="1" applyAlignment="1">
      <alignment horizontal="center" vertical="center"/>
    </xf>
    <xf numFmtId="0" fontId="7" fillId="0" borderId="17" xfId="1" applyFont="1" applyBorder="1" applyAlignment="1">
      <alignment vertical="center"/>
    </xf>
    <xf numFmtId="0" fontId="3" fillId="0" borderId="0" xfId="1" applyFont="1" applyAlignment="1">
      <alignment vertical="center"/>
    </xf>
    <xf numFmtId="0" fontId="7" fillId="0" borderId="0" xfId="1" applyFont="1" applyAlignment="1">
      <alignment horizontal="right"/>
    </xf>
    <xf numFmtId="3" fontId="7" fillId="0" borderId="12" xfId="1" applyNumberFormat="1" applyFont="1" applyFill="1" applyBorder="1" applyAlignment="1">
      <alignment horizontal="center" vertical="center"/>
    </xf>
    <xf numFmtId="3" fontId="7" fillId="0" borderId="21" xfId="1" applyNumberFormat="1" applyFont="1" applyFill="1" applyBorder="1" applyAlignment="1">
      <alignment horizontal="center" vertical="center"/>
    </xf>
    <xf numFmtId="0" fontId="7" fillId="0" borderId="21" xfId="4" applyNumberFormat="1" applyFont="1" applyFill="1" applyBorder="1" applyAlignment="1">
      <alignment horizontal="center" vertical="center"/>
    </xf>
    <xf numFmtId="193" fontId="7" fillId="0" borderId="21" xfId="1" applyNumberFormat="1" applyFont="1" applyFill="1" applyBorder="1" applyAlignment="1">
      <alignment horizontal="center" vertical="center"/>
    </xf>
    <xf numFmtId="4" fontId="7" fillId="0" borderId="21" xfId="1" applyNumberFormat="1" applyFont="1" applyFill="1" applyBorder="1" applyAlignment="1">
      <alignment horizontal="center" vertical="center"/>
    </xf>
    <xf numFmtId="193" fontId="7" fillId="0" borderId="10" xfId="1" applyNumberFormat="1" applyFont="1" applyFill="1" applyBorder="1" applyAlignment="1">
      <alignment horizontal="center" vertical="center"/>
    </xf>
    <xf numFmtId="0" fontId="20" fillId="0" borderId="0" xfId="1" applyFont="1" applyAlignment="1">
      <alignment vertical="center"/>
    </xf>
    <xf numFmtId="49" fontId="3" fillId="0" borderId="0" xfId="1" applyNumberFormat="1" applyFont="1" applyAlignment="1">
      <alignment vertical="center"/>
    </xf>
    <xf numFmtId="49" fontId="2" fillId="0" borderId="0" xfId="1" applyNumberFormat="1" applyAlignment="1">
      <alignment vertical="center"/>
    </xf>
    <xf numFmtId="49" fontId="7" fillId="0" borderId="0" xfId="1" applyNumberFormat="1" applyFont="1" applyAlignment="1">
      <alignment horizontal="right"/>
    </xf>
    <xf numFmtId="49" fontId="7" fillId="0" borderId="0" xfId="1" applyNumberFormat="1" applyFont="1" applyAlignment="1">
      <alignment vertical="center"/>
    </xf>
    <xf numFmtId="49" fontId="7" fillId="0" borderId="19" xfId="1" applyNumberFormat="1" applyFont="1" applyBorder="1" applyAlignment="1">
      <alignment horizontal="center" vertical="center"/>
    </xf>
    <xf numFmtId="49" fontId="7" fillId="0" borderId="18" xfId="1" applyNumberFormat="1" applyFont="1" applyBorder="1" applyAlignment="1">
      <alignment vertical="center"/>
    </xf>
    <xf numFmtId="49" fontId="7" fillId="0" borderId="32" xfId="1" applyNumberFormat="1" applyFont="1" applyBorder="1" applyAlignment="1">
      <alignment vertical="center"/>
    </xf>
    <xf numFmtId="49" fontId="7" fillId="0" borderId="26" xfId="1" applyNumberFormat="1" applyFont="1" applyBorder="1" applyAlignment="1">
      <alignment horizontal="right" vertical="center"/>
    </xf>
    <xf numFmtId="49" fontId="7" fillId="0" borderId="28" xfId="1" applyNumberFormat="1" applyFont="1" applyBorder="1" applyAlignment="1">
      <alignment horizontal="right" vertical="center"/>
    </xf>
    <xf numFmtId="49" fontId="7" fillId="0" borderId="32" xfId="1" applyNumberFormat="1" applyFont="1" applyBorder="1" applyAlignment="1">
      <alignment horizontal="right" vertical="center"/>
    </xf>
    <xf numFmtId="194" fontId="7" fillId="0" borderId="0" xfId="1" applyNumberFormat="1" applyFont="1" applyAlignment="1">
      <alignment vertical="center"/>
    </xf>
    <xf numFmtId="49" fontId="7" fillId="0" borderId="0" xfId="1" applyNumberFormat="1" applyFont="1" applyAlignment="1">
      <alignment horizontal="center" vertical="center"/>
    </xf>
    <xf numFmtId="195" fontId="7" fillId="0" borderId="20" xfId="2" applyNumberFormat="1" applyFont="1" applyBorder="1" applyAlignment="1">
      <alignment vertical="center"/>
    </xf>
    <xf numFmtId="195" fontId="7" fillId="0" borderId="19" xfId="2" applyNumberFormat="1" applyFont="1" applyBorder="1" applyAlignment="1">
      <alignment vertical="center"/>
    </xf>
    <xf numFmtId="195" fontId="7" fillId="0" borderId="0" xfId="2" applyNumberFormat="1" applyFont="1" applyBorder="1" applyAlignment="1">
      <alignment vertical="center"/>
    </xf>
    <xf numFmtId="49" fontId="7" fillId="0" borderId="33" xfId="1" applyNumberFormat="1" applyFont="1" applyBorder="1" applyAlignment="1">
      <alignment horizontal="center" vertical="center"/>
    </xf>
    <xf numFmtId="195" fontId="7" fillId="0" borderId="30" xfId="2" applyNumberFormat="1" applyFont="1" applyBorder="1" applyAlignment="1">
      <alignment vertical="center"/>
    </xf>
    <xf numFmtId="195" fontId="7" fillId="0" borderId="31" xfId="2" applyNumberFormat="1" applyFont="1" applyBorder="1" applyAlignment="1">
      <alignment vertical="center"/>
    </xf>
    <xf numFmtId="195" fontId="7" fillId="0" borderId="33" xfId="2" applyNumberFormat="1" applyFont="1" applyBorder="1" applyAlignment="1">
      <alignment vertical="center"/>
    </xf>
    <xf numFmtId="194" fontId="7" fillId="0" borderId="31" xfId="2" applyNumberFormat="1" applyFont="1" applyBorder="1" applyAlignment="1">
      <alignment horizontal="right" vertical="center"/>
    </xf>
    <xf numFmtId="195" fontId="7" fillId="0" borderId="31" xfId="2" applyNumberFormat="1" applyFont="1" applyBorder="1" applyAlignment="1">
      <alignment horizontal="right" vertical="center"/>
    </xf>
    <xf numFmtId="49" fontId="7" fillId="0" borderId="10" xfId="1" applyNumberFormat="1" applyFont="1" applyBorder="1" applyAlignment="1">
      <alignment horizontal="center" vertical="center"/>
    </xf>
    <xf numFmtId="195" fontId="7" fillId="0" borderId="12" xfId="2" applyNumberFormat="1" applyFont="1" applyBorder="1" applyAlignment="1">
      <alignment vertical="center"/>
    </xf>
    <xf numFmtId="195" fontId="7" fillId="0" borderId="21" xfId="2" applyNumberFormat="1" applyFont="1" applyBorder="1" applyAlignment="1">
      <alignment vertical="center"/>
    </xf>
    <xf numFmtId="195" fontId="7" fillId="0" borderId="10" xfId="2" applyNumberFormat="1" applyFont="1" applyBorder="1" applyAlignment="1">
      <alignment vertical="center"/>
    </xf>
    <xf numFmtId="195" fontId="7" fillId="0" borderId="21" xfId="2" applyNumberFormat="1" applyFont="1" applyBorder="1" applyAlignment="1">
      <alignment horizontal="right" vertical="center"/>
    </xf>
    <xf numFmtId="195" fontId="7" fillId="0" borderId="20" xfId="2" applyNumberFormat="1" applyFont="1" applyFill="1" applyBorder="1" applyAlignment="1">
      <alignment vertical="center"/>
    </xf>
    <xf numFmtId="195" fontId="7" fillId="0" borderId="19" xfId="2" applyNumberFormat="1" applyFont="1" applyFill="1" applyBorder="1" applyAlignment="1">
      <alignment vertical="center"/>
    </xf>
    <xf numFmtId="195" fontId="7" fillId="0" borderId="0" xfId="2" applyNumberFormat="1" applyFont="1" applyFill="1" applyBorder="1" applyAlignment="1">
      <alignment vertical="center"/>
    </xf>
    <xf numFmtId="195" fontId="7" fillId="0" borderId="30" xfId="2" applyNumberFormat="1" applyFont="1" applyFill="1" applyBorder="1" applyAlignment="1">
      <alignment vertical="center"/>
    </xf>
    <xf numFmtId="195" fontId="7" fillId="0" borderId="31" xfId="2" applyNumberFormat="1" applyFont="1" applyFill="1" applyBorder="1" applyAlignment="1">
      <alignment vertical="center"/>
    </xf>
    <xf numFmtId="195" fontId="7" fillId="0" borderId="33" xfId="2" applyNumberFormat="1" applyFont="1" applyFill="1" applyBorder="1" applyAlignment="1">
      <alignment vertical="center"/>
    </xf>
    <xf numFmtId="194" fontId="7" fillId="0" borderId="31" xfId="2" applyNumberFormat="1" applyFont="1" applyFill="1" applyBorder="1" applyAlignment="1">
      <alignment horizontal="right" vertical="center"/>
    </xf>
    <xf numFmtId="195" fontId="7" fillId="0" borderId="31" xfId="2" applyNumberFormat="1" applyFont="1" applyFill="1" applyBorder="1" applyAlignment="1">
      <alignment horizontal="right" vertical="center"/>
    </xf>
    <xf numFmtId="195" fontId="7" fillId="0" borderId="12" xfId="2" applyNumberFormat="1" applyFont="1" applyFill="1" applyBorder="1" applyAlignment="1">
      <alignment vertical="center"/>
    </xf>
    <xf numFmtId="195" fontId="7" fillId="0" borderId="21" xfId="2" applyNumberFormat="1" applyFont="1" applyFill="1" applyBorder="1" applyAlignment="1">
      <alignment vertical="center"/>
    </xf>
    <xf numFmtId="195" fontId="7" fillId="0" borderId="10" xfId="2" applyNumberFormat="1" applyFont="1" applyFill="1" applyBorder="1" applyAlignment="1">
      <alignment vertical="center"/>
    </xf>
    <xf numFmtId="195" fontId="7" fillId="0" borderId="21" xfId="2" applyNumberFormat="1" applyFont="1" applyFill="1" applyBorder="1" applyAlignment="1">
      <alignment horizontal="right" vertical="center"/>
    </xf>
    <xf numFmtId="49" fontId="7" fillId="0" borderId="0" xfId="1" applyNumberFormat="1" applyFont="1" applyAlignment="1">
      <alignment horizontal="left" vertical="center"/>
    </xf>
    <xf numFmtId="49" fontId="11" fillId="0" borderId="0" xfId="1" applyNumberFormat="1" applyFont="1" applyAlignment="1">
      <alignment horizontal="left" vertical="center"/>
    </xf>
    <xf numFmtId="0" fontId="3" fillId="0" borderId="0" xfId="5" applyFont="1" applyAlignment="1">
      <alignment vertical="center"/>
    </xf>
    <xf numFmtId="0" fontId="21" fillId="0" borderId="0" xfId="5" applyAlignment="1">
      <alignment vertical="center"/>
    </xf>
    <xf numFmtId="0" fontId="7" fillId="0" borderId="10" xfId="5" applyFont="1" applyBorder="1"/>
    <xf numFmtId="0" fontId="21" fillId="0" borderId="0" xfId="5" applyAlignment="1">
      <alignment horizontal="right"/>
    </xf>
    <xf numFmtId="0" fontId="7" fillId="0" borderId="0" xfId="5" applyFont="1" applyAlignment="1">
      <alignment vertical="center"/>
    </xf>
    <xf numFmtId="0" fontId="7" fillId="0" borderId="5" xfId="5" applyFont="1" applyBorder="1" applyAlignment="1">
      <alignment horizontal="center" vertical="center"/>
    </xf>
    <xf numFmtId="0" fontId="7" fillId="0" borderId="33" xfId="5" applyFont="1" applyBorder="1" applyAlignment="1">
      <alignment horizontal="center" vertical="center"/>
    </xf>
    <xf numFmtId="0" fontId="7" fillId="0" borderId="29" xfId="5" applyFont="1" applyBorder="1" applyAlignment="1">
      <alignment horizontal="center" vertical="center"/>
    </xf>
    <xf numFmtId="0" fontId="7" fillId="0" borderId="19" xfId="5" applyFont="1" applyBorder="1" applyAlignment="1">
      <alignment horizontal="right" vertical="center"/>
    </xf>
    <xf numFmtId="0" fontId="7" fillId="0" borderId="0" xfId="5" applyFont="1" applyAlignment="1">
      <alignment horizontal="right" vertical="center"/>
    </xf>
    <xf numFmtId="0" fontId="7" fillId="0" borderId="18" xfId="5" applyFont="1" applyBorder="1" applyAlignment="1">
      <alignment horizontal="right" vertical="center"/>
    </xf>
    <xf numFmtId="38" fontId="7" fillId="0" borderId="31" xfId="2" applyFont="1" applyFill="1" applyBorder="1" applyAlignment="1">
      <alignment vertical="center"/>
    </xf>
    <xf numFmtId="38" fontId="7" fillId="0" borderId="33" xfId="2" applyFont="1" applyFill="1" applyBorder="1" applyAlignment="1">
      <alignment vertical="center"/>
    </xf>
    <xf numFmtId="38" fontId="7" fillId="0" borderId="19" xfId="2" applyFont="1" applyFill="1" applyBorder="1" applyAlignment="1">
      <alignment vertical="center"/>
    </xf>
    <xf numFmtId="38" fontId="7" fillId="0" borderId="0" xfId="2" applyFont="1" applyFill="1" applyAlignment="1">
      <alignment vertical="center"/>
    </xf>
    <xf numFmtId="0" fontId="7" fillId="0" borderId="18" xfId="5" applyFont="1" applyBorder="1" applyAlignment="1">
      <alignment horizontal="distributed" vertical="center"/>
    </xf>
    <xf numFmtId="38" fontId="7" fillId="0" borderId="18" xfId="2" applyFont="1" applyFill="1" applyBorder="1" applyAlignment="1">
      <alignment vertical="center"/>
    </xf>
    <xf numFmtId="0" fontId="7" fillId="0" borderId="33" xfId="5" applyFont="1" applyBorder="1" applyAlignment="1">
      <alignment horizontal="right" vertical="center"/>
    </xf>
    <xf numFmtId="0" fontId="7" fillId="0" borderId="29" xfId="5" applyFont="1" applyBorder="1" applyAlignment="1">
      <alignment horizontal="distributed" vertical="center"/>
    </xf>
    <xf numFmtId="38" fontId="7" fillId="0" borderId="33" xfId="2" applyFont="1" applyFill="1" applyBorder="1" applyAlignment="1">
      <alignment horizontal="right" vertical="center"/>
    </xf>
    <xf numFmtId="38" fontId="7" fillId="0" borderId="29" xfId="2" applyFont="1" applyFill="1" applyBorder="1" applyAlignment="1">
      <alignment horizontal="right" vertical="center"/>
    </xf>
    <xf numFmtId="38" fontId="7" fillId="0" borderId="29" xfId="2" applyFont="1" applyFill="1" applyBorder="1" applyAlignment="1">
      <alignment vertical="center"/>
    </xf>
    <xf numFmtId="38" fontId="7" fillId="0" borderId="28" xfId="2" applyFont="1" applyBorder="1" applyAlignment="1">
      <alignment vertical="center"/>
    </xf>
    <xf numFmtId="38" fontId="7" fillId="0" borderId="26" xfId="2" applyFont="1" applyFill="1" applyBorder="1" applyAlignment="1">
      <alignment vertical="center"/>
    </xf>
    <xf numFmtId="0" fontId="7" fillId="0" borderId="0" xfId="5" applyFont="1" applyAlignment="1">
      <alignment horizontal="distributed" vertical="center"/>
    </xf>
    <xf numFmtId="38" fontId="7" fillId="0" borderId="19" xfId="2" applyFont="1" applyFill="1" applyBorder="1" applyAlignment="1">
      <alignment horizontal="right" vertical="center"/>
    </xf>
    <xf numFmtId="0" fontId="7" fillId="0" borderId="18" xfId="5" applyFont="1" applyBorder="1" applyAlignment="1">
      <alignment horizontal="left" vertical="center"/>
    </xf>
    <xf numFmtId="38" fontId="7" fillId="0" borderId="0" xfId="2" applyFont="1" applyFill="1" applyBorder="1" applyAlignment="1">
      <alignment vertical="center"/>
    </xf>
    <xf numFmtId="38" fontId="7" fillId="0" borderId="11" xfId="2" applyFont="1" applyBorder="1" applyAlignment="1">
      <alignment vertical="center"/>
    </xf>
    <xf numFmtId="38" fontId="7" fillId="0" borderId="8" xfId="2" applyFont="1" applyFill="1" applyBorder="1" applyAlignment="1">
      <alignment vertical="center"/>
    </xf>
    <xf numFmtId="38" fontId="7" fillId="0" borderId="49" xfId="2" applyFont="1" applyFill="1" applyBorder="1" applyAlignment="1">
      <alignment vertical="center"/>
    </xf>
    <xf numFmtId="38" fontId="7" fillId="0" borderId="21" xfId="2" applyFont="1" applyFill="1" applyBorder="1" applyAlignment="1">
      <alignment vertical="center"/>
    </xf>
    <xf numFmtId="38" fontId="7" fillId="0" borderId="11" xfId="2" applyFont="1" applyFill="1" applyBorder="1" applyAlignment="1">
      <alignment vertical="center"/>
    </xf>
    <xf numFmtId="0" fontId="7" fillId="0" borderId="0" xfId="5" applyFont="1" applyAlignment="1">
      <alignment horizontal="left" vertical="center"/>
    </xf>
    <xf numFmtId="0" fontId="3" fillId="0" borderId="10" xfId="1" applyFont="1" applyBorder="1" applyAlignment="1">
      <alignment vertical="center"/>
    </xf>
    <xf numFmtId="0" fontId="7" fillId="0" borderId="10" xfId="1" applyFont="1" applyBorder="1" applyAlignment="1">
      <alignment horizontal="right"/>
    </xf>
    <xf numFmtId="0" fontId="7" fillId="0" borderId="18" xfId="1" applyFont="1" applyBorder="1" applyAlignment="1">
      <alignment horizontal="distributed" vertical="center"/>
    </xf>
    <xf numFmtId="0" fontId="7" fillId="0" borderId="11" xfId="1" applyFont="1" applyBorder="1" applyAlignment="1">
      <alignment horizontal="distributed" vertical="center"/>
    </xf>
    <xf numFmtId="38" fontId="7" fillId="0" borderId="21" xfId="2" applyFont="1" applyBorder="1" applyAlignment="1">
      <alignment horizontal="left" vertical="center"/>
    </xf>
    <xf numFmtId="38" fontId="7" fillId="0" borderId="15" xfId="2" applyFont="1" applyBorder="1" applyAlignment="1">
      <alignment horizontal="right" vertical="center"/>
    </xf>
    <xf numFmtId="38" fontId="2" fillId="0" borderId="0" xfId="1" applyNumberFormat="1" applyAlignment="1">
      <alignment vertical="center"/>
    </xf>
    <xf numFmtId="38" fontId="7" fillId="0" borderId="20" xfId="2" applyFont="1" applyBorder="1" applyAlignment="1">
      <alignment vertical="center"/>
    </xf>
    <xf numFmtId="38" fontId="7" fillId="0" borderId="20" xfId="2" applyFont="1" applyBorder="1" applyAlignment="1">
      <alignment horizontal="right" vertical="center"/>
    </xf>
    <xf numFmtId="38" fontId="7" fillId="0" borderId="12" xfId="2" applyFont="1" applyBorder="1" applyAlignment="1">
      <alignment horizontal="right" vertical="center"/>
    </xf>
    <xf numFmtId="38" fontId="7" fillId="0" borderId="21" xfId="2" applyFont="1" applyFill="1" applyBorder="1" applyAlignment="1">
      <alignment horizontal="right" vertical="center"/>
    </xf>
    <xf numFmtId="0" fontId="11" fillId="0" borderId="0" xfId="6" applyFont="1">
      <alignment vertical="center"/>
    </xf>
    <xf numFmtId="0" fontId="7" fillId="0" borderId="0" xfId="7" applyFont="1" applyAlignment="1">
      <alignment vertical="center"/>
    </xf>
    <xf numFmtId="0" fontId="7" fillId="0" borderId="0" xfId="7" applyFont="1"/>
    <xf numFmtId="0" fontId="11" fillId="0" borderId="17" xfId="6" applyFont="1" applyBorder="1">
      <alignment vertical="center"/>
    </xf>
    <xf numFmtId="0" fontId="7" fillId="0" borderId="17" xfId="7" applyFont="1" applyBorder="1" applyAlignment="1">
      <alignment vertical="center"/>
    </xf>
    <xf numFmtId="37" fontId="22" fillId="0" borderId="12" xfId="1" applyNumberFormat="1" applyFont="1" applyBorder="1" applyAlignment="1">
      <alignment horizontal="right" vertical="center"/>
    </xf>
    <xf numFmtId="37" fontId="22" fillId="0" borderId="19" xfId="1" applyNumberFormat="1" applyFont="1" applyBorder="1" applyAlignment="1">
      <alignment horizontal="right" vertical="center"/>
    </xf>
    <xf numFmtId="37" fontId="22" fillId="0" borderId="21" xfId="1" applyNumberFormat="1" applyFont="1" applyBorder="1" applyAlignment="1">
      <alignment horizontal="right" vertical="center"/>
    </xf>
    <xf numFmtId="0" fontId="11" fillId="0" borderId="21" xfId="6" applyFont="1" applyBorder="1">
      <alignment vertical="center"/>
    </xf>
    <xf numFmtId="0" fontId="11" fillId="0" borderId="11" xfId="6" applyFont="1" applyBorder="1" applyAlignment="1">
      <alignment horizontal="distributed" vertical="center"/>
    </xf>
    <xf numFmtId="37" fontId="22" fillId="0" borderId="0" xfId="1" applyNumberFormat="1" applyFont="1" applyAlignment="1">
      <alignment horizontal="right" vertical="center"/>
    </xf>
    <xf numFmtId="0" fontId="11" fillId="0" borderId="19" xfId="6" applyFont="1" applyBorder="1">
      <alignment vertical="center"/>
    </xf>
    <xf numFmtId="0" fontId="11" fillId="0" borderId="18" xfId="6" applyFont="1" applyBorder="1" applyAlignment="1">
      <alignment horizontal="distributed" vertical="center"/>
    </xf>
    <xf numFmtId="0" fontId="11" fillId="0" borderId="18" xfId="6" applyFont="1" applyBorder="1" applyAlignment="1">
      <alignment horizontal="distributed" vertical="center" wrapText="1"/>
    </xf>
    <xf numFmtId="0" fontId="7" fillId="0" borderId="0" xfId="7" applyFont="1" applyAlignment="1">
      <alignment horizontal="right" vertical="center"/>
    </xf>
    <xf numFmtId="0" fontId="7" fillId="0" borderId="19" xfId="7" applyFont="1" applyBorder="1" applyAlignment="1">
      <alignment horizontal="right" vertical="center"/>
    </xf>
    <xf numFmtId="0" fontId="11" fillId="0" borderId="18" xfId="6" applyFont="1" applyBorder="1">
      <alignment vertical="center"/>
    </xf>
    <xf numFmtId="0" fontId="7" fillId="0" borderId="33" xfId="7" applyFont="1" applyBorder="1" applyAlignment="1">
      <alignment horizontal="center" vertical="center"/>
    </xf>
    <xf numFmtId="0" fontId="7" fillId="0" borderId="5" xfId="7" applyFont="1" applyBorder="1" applyAlignment="1">
      <alignment horizontal="center" vertical="center"/>
    </xf>
    <xf numFmtId="0" fontId="3" fillId="0" borderId="0" xfId="7" applyFont="1" applyAlignment="1">
      <alignment horizontal="left" vertical="center"/>
    </xf>
    <xf numFmtId="0" fontId="3" fillId="0" borderId="10" xfId="1" applyFont="1" applyBorder="1" applyAlignment="1">
      <alignment horizontal="left" vertical="center"/>
    </xf>
    <xf numFmtId="0" fontId="2" fillId="0" borderId="10" xfId="1" applyBorder="1" applyAlignment="1">
      <alignment vertical="center"/>
    </xf>
    <xf numFmtId="0" fontId="2" fillId="0" borderId="10" xfId="1" applyBorder="1"/>
    <xf numFmtId="58" fontId="9" fillId="0" borderId="10" xfId="1" applyNumberFormat="1" applyFont="1" applyBorder="1" applyAlignment="1">
      <alignment horizontal="right"/>
    </xf>
    <xf numFmtId="38" fontId="7" fillId="0" borderId="5" xfId="2" applyFont="1" applyBorder="1" applyAlignment="1">
      <alignment horizontal="center" vertical="center"/>
    </xf>
    <xf numFmtId="38" fontId="7" fillId="0" borderId="4" xfId="2" applyFont="1" applyBorder="1" applyAlignment="1">
      <alignment horizontal="center" vertical="center"/>
    </xf>
    <xf numFmtId="2" fontId="7" fillId="0" borderId="34" xfId="1" applyNumberFormat="1" applyFont="1" applyBorder="1" applyAlignment="1">
      <alignment horizontal="center" vertical="center"/>
    </xf>
    <xf numFmtId="38" fontId="7" fillId="0" borderId="11" xfId="2" applyFont="1" applyBorder="1" applyAlignment="1">
      <alignment horizontal="center" vertical="center"/>
    </xf>
    <xf numFmtId="38" fontId="7" fillId="0" borderId="21" xfId="2" applyFont="1" applyBorder="1" applyAlignment="1">
      <alignment horizontal="center" vertical="center"/>
    </xf>
    <xf numFmtId="2" fontId="7" fillId="0" borderId="10" xfId="1" applyNumberFormat="1" applyFont="1" applyBorder="1" applyAlignment="1">
      <alignment horizontal="center" vertical="center"/>
    </xf>
    <xf numFmtId="0" fontId="7" fillId="0" borderId="18" xfId="1" applyFont="1" applyBorder="1" applyAlignment="1">
      <alignment horizontal="center" vertical="center" wrapText="1"/>
    </xf>
    <xf numFmtId="0" fontId="7" fillId="0" borderId="27" xfId="1" applyFont="1" applyBorder="1" applyAlignment="1">
      <alignment horizontal="distributed" vertical="center"/>
    </xf>
    <xf numFmtId="196" fontId="15" fillId="0" borderId="28" xfId="8" applyNumberFormat="1" applyFont="1" applyBorder="1" applyAlignment="1">
      <alignment horizontal="right" vertical="center"/>
    </xf>
    <xf numFmtId="2" fontId="15" fillId="0" borderId="26" xfId="8" applyNumberFormat="1" applyFont="1" applyBorder="1" applyAlignment="1">
      <alignment horizontal="right" vertical="center"/>
    </xf>
    <xf numFmtId="197" fontId="15" fillId="0" borderId="28" xfId="8" applyNumberFormat="1" applyFont="1" applyBorder="1" applyAlignment="1">
      <alignment horizontal="right" vertical="center"/>
    </xf>
    <xf numFmtId="197" fontId="15" fillId="0" borderId="26" xfId="8" applyNumberFormat="1" applyFont="1" applyBorder="1" applyAlignment="1">
      <alignment horizontal="right" vertical="center"/>
    </xf>
    <xf numFmtId="0" fontId="7" fillId="0" borderId="0" xfId="1" applyFont="1" applyAlignment="1">
      <alignment horizontal="distributed" vertical="center"/>
    </xf>
    <xf numFmtId="0" fontId="7" fillId="0" borderId="0" xfId="1" applyFont="1" applyAlignment="1">
      <alignment horizontal="distributed" vertical="center"/>
    </xf>
    <xf numFmtId="0" fontId="7" fillId="0" borderId="18" xfId="1" applyFont="1" applyBorder="1" applyAlignment="1">
      <alignment horizontal="distributed" vertical="center"/>
    </xf>
    <xf numFmtId="196" fontId="15" fillId="0" borderId="19" xfId="8" applyNumberFormat="1" applyFont="1" applyBorder="1" applyAlignment="1">
      <alignment horizontal="right" vertical="center"/>
    </xf>
    <xf numFmtId="2" fontId="15" fillId="0" borderId="20" xfId="8" applyNumberFormat="1" applyFont="1" applyBorder="1" applyAlignment="1">
      <alignment horizontal="right" vertical="center"/>
    </xf>
    <xf numFmtId="197" fontId="15" fillId="0" borderId="19" xfId="8" applyNumberFormat="1" applyFont="1" applyBorder="1" applyAlignment="1">
      <alignment horizontal="right" vertical="center"/>
    </xf>
    <xf numFmtId="197" fontId="15" fillId="0" borderId="20" xfId="8" applyNumberFormat="1" applyFont="1" applyBorder="1" applyAlignment="1">
      <alignment horizontal="right" vertical="center"/>
    </xf>
    <xf numFmtId="0" fontId="7" fillId="0" borderId="10" xfId="1" applyFont="1" applyBorder="1" applyAlignment="1">
      <alignment horizontal="distributed" vertical="center"/>
    </xf>
    <xf numFmtId="0" fontId="7" fillId="0" borderId="11" xfId="1" applyFont="1" applyBorder="1" applyAlignment="1">
      <alignment horizontal="distributed" vertical="center"/>
    </xf>
    <xf numFmtId="196" fontId="15" fillId="0" borderId="21" xfId="8" applyNumberFormat="1" applyFont="1" applyBorder="1" applyAlignment="1">
      <alignment horizontal="right" vertical="center"/>
    </xf>
    <xf numFmtId="2" fontId="15" fillId="0" borderId="12" xfId="8" applyNumberFormat="1" applyFont="1" applyBorder="1" applyAlignment="1">
      <alignment horizontal="right" vertical="center"/>
    </xf>
    <xf numFmtId="197" fontId="15" fillId="0" borderId="21" xfId="8" applyNumberFormat="1" applyFont="1" applyBorder="1" applyAlignment="1">
      <alignment horizontal="right" vertical="center"/>
    </xf>
    <xf numFmtId="197" fontId="15" fillId="0" borderId="12" xfId="8" applyNumberFormat="1" applyFont="1" applyBorder="1" applyAlignment="1">
      <alignment horizontal="right" vertical="center"/>
    </xf>
    <xf numFmtId="0" fontId="7" fillId="0" borderId="21" xfId="1" applyFont="1" applyBorder="1" applyAlignment="1">
      <alignment vertical="center"/>
    </xf>
    <xf numFmtId="38" fontId="3" fillId="0" borderId="0" xfId="2" applyFont="1" applyAlignment="1">
      <alignment vertical="center"/>
    </xf>
    <xf numFmtId="38" fontId="7" fillId="0" borderId="0" xfId="2" applyFont="1" applyAlignment="1"/>
    <xf numFmtId="38" fontId="0" fillId="0" borderId="0" xfId="2" applyFont="1" applyAlignment="1">
      <alignment vertical="center"/>
    </xf>
    <xf numFmtId="38" fontId="7" fillId="0" borderId="0" xfId="2" applyFont="1" applyAlignment="1">
      <alignment horizontal="right"/>
    </xf>
    <xf numFmtId="38" fontId="7" fillId="0" borderId="24" xfId="2" applyFont="1" applyBorder="1" applyAlignment="1">
      <alignment horizontal="center" vertical="center"/>
    </xf>
    <xf numFmtId="38" fontId="7" fillId="0" borderId="0" xfId="2" applyFont="1" applyAlignment="1">
      <alignment vertical="center"/>
    </xf>
    <xf numFmtId="38" fontId="7" fillId="0" borderId="33" xfId="2" applyFont="1" applyBorder="1" applyAlignment="1">
      <alignment horizontal="center" vertical="center"/>
    </xf>
    <xf numFmtId="38" fontId="7" fillId="0" borderId="26" xfId="2" applyFont="1" applyBorder="1" applyAlignment="1">
      <alignment vertical="center"/>
    </xf>
    <xf numFmtId="38" fontId="7" fillId="0" borderId="0" xfId="2" applyFont="1" applyBorder="1" applyAlignment="1">
      <alignment horizontal="center" vertical="center"/>
    </xf>
    <xf numFmtId="38" fontId="7" fillId="0" borderId="30" xfId="2" applyFont="1" applyBorder="1" applyAlignment="1">
      <alignment vertical="center"/>
    </xf>
    <xf numFmtId="38" fontId="7" fillId="0" borderId="20" xfId="2" applyFont="1" applyFill="1" applyBorder="1" applyAlignment="1">
      <alignment vertical="center"/>
    </xf>
    <xf numFmtId="37" fontId="11" fillId="0" borderId="19" xfId="1" applyNumberFormat="1" applyFont="1" applyBorder="1" applyAlignment="1">
      <alignment horizontal="right" vertical="top"/>
    </xf>
    <xf numFmtId="37" fontId="11" fillId="0" borderId="0" xfId="1" applyNumberFormat="1" applyFont="1" applyAlignment="1">
      <alignment horizontal="right" vertical="top"/>
    </xf>
    <xf numFmtId="37" fontId="11" fillId="0" borderId="21" xfId="1" applyNumberFormat="1" applyFont="1" applyBorder="1" applyAlignment="1">
      <alignment horizontal="right" vertical="top"/>
    </xf>
    <xf numFmtId="37" fontId="11" fillId="0" borderId="11" xfId="1" applyNumberFormat="1" applyFont="1" applyBorder="1" applyAlignment="1">
      <alignment horizontal="right" vertical="top"/>
    </xf>
    <xf numFmtId="38" fontId="7" fillId="0" borderId="12" xfId="2" applyFont="1" applyFill="1" applyBorder="1" applyAlignment="1">
      <alignment vertical="center"/>
    </xf>
    <xf numFmtId="38" fontId="9" fillId="0" borderId="0" xfId="2" applyFont="1" applyAlignment="1">
      <alignment vertical="center"/>
    </xf>
    <xf numFmtId="0" fontId="3" fillId="0" borderId="0" xfId="1" applyFont="1" applyAlignment="1">
      <alignment vertical="center" shrinkToFit="1"/>
    </xf>
    <xf numFmtId="0" fontId="25" fillId="0" borderId="0" xfId="1" applyFont="1" applyAlignment="1">
      <alignment vertical="center"/>
    </xf>
    <xf numFmtId="0" fontId="7" fillId="0" borderId="19" xfId="1" applyFont="1" applyBorder="1" applyAlignment="1">
      <alignment horizontal="center" vertical="center" justifyLastLine="1"/>
    </xf>
    <xf numFmtId="0" fontId="7" fillId="0" borderId="20" xfId="1" applyFont="1" applyBorder="1" applyAlignment="1">
      <alignment horizontal="center" vertical="center" wrapText="1"/>
    </xf>
    <xf numFmtId="182" fontId="7" fillId="0" borderId="28" xfId="2" applyNumberFormat="1" applyFont="1" applyBorder="1" applyAlignment="1">
      <alignment horizontal="right" vertical="center"/>
    </xf>
    <xf numFmtId="198" fontId="7" fillId="0" borderId="26" xfId="2" applyNumberFormat="1" applyFont="1" applyBorder="1" applyAlignment="1">
      <alignment horizontal="right" vertical="center"/>
    </xf>
    <xf numFmtId="182" fontId="7" fillId="0" borderId="19" xfId="2" applyNumberFormat="1" applyFont="1" applyBorder="1" applyAlignment="1">
      <alignment horizontal="right" vertical="center"/>
    </xf>
    <xf numFmtId="198" fontId="7" fillId="0" borderId="20" xfId="2" applyNumberFormat="1" applyFont="1" applyBorder="1" applyAlignment="1">
      <alignment horizontal="right" vertical="center"/>
    </xf>
    <xf numFmtId="0" fontId="2" fillId="0" borderId="0" xfId="1" applyAlignment="1">
      <alignment horizontal="distributed" vertical="center"/>
    </xf>
    <xf numFmtId="182" fontId="7" fillId="0" borderId="21" xfId="2" applyNumberFormat="1" applyFont="1" applyBorder="1" applyAlignment="1">
      <alignment horizontal="right" vertical="center"/>
    </xf>
    <xf numFmtId="198" fontId="7" fillId="0" borderId="12" xfId="2" applyNumberFormat="1" applyFont="1" applyBorder="1" applyAlignment="1">
      <alignment horizontal="right" vertical="center"/>
    </xf>
    <xf numFmtId="38" fontId="7" fillId="0" borderId="18" xfId="2" applyFont="1" applyBorder="1" applyAlignment="1">
      <alignment horizontal="center" vertical="center"/>
    </xf>
    <xf numFmtId="199" fontId="7" fillId="0" borderId="20" xfId="2" applyNumberFormat="1" applyFont="1" applyBorder="1" applyAlignment="1">
      <alignment horizontal="center" vertical="center"/>
    </xf>
    <xf numFmtId="200" fontId="7" fillId="0" borderId="20" xfId="1" applyNumberFormat="1" applyFont="1" applyBorder="1" applyAlignment="1">
      <alignment horizontal="center" vertical="center"/>
    </xf>
    <xf numFmtId="38" fontId="15" fillId="0" borderId="20" xfId="2" applyFont="1" applyBorder="1" applyAlignment="1">
      <alignment horizontal="center" vertical="center"/>
    </xf>
    <xf numFmtId="38" fontId="15" fillId="0" borderId="19" xfId="2" applyFont="1" applyBorder="1" applyAlignment="1">
      <alignment horizontal="center" vertical="center"/>
    </xf>
    <xf numFmtId="38" fontId="15" fillId="0" borderId="18" xfId="2" applyFont="1" applyBorder="1" applyAlignment="1">
      <alignment horizontal="center" vertical="center"/>
    </xf>
    <xf numFmtId="38" fontId="7" fillId="0" borderId="12" xfId="2" applyFont="1" applyFill="1" applyBorder="1" applyAlignment="1">
      <alignment horizontal="center" vertical="center"/>
    </xf>
    <xf numFmtId="38" fontId="15" fillId="0" borderId="12" xfId="2" applyFont="1" applyFill="1" applyBorder="1" applyAlignment="1">
      <alignment horizontal="center" vertical="center"/>
    </xf>
    <xf numFmtId="38" fontId="15" fillId="0" borderId="21" xfId="2" applyFont="1" applyFill="1" applyBorder="1" applyAlignment="1">
      <alignment horizontal="center" vertical="center"/>
    </xf>
    <xf numFmtId="180" fontId="7" fillId="0" borderId="12" xfId="2" applyNumberFormat="1" applyFont="1" applyFill="1" applyBorder="1" applyAlignment="1">
      <alignment horizontal="center" vertical="center"/>
    </xf>
    <xf numFmtId="38" fontId="7" fillId="0" borderId="0" xfId="2" applyFont="1" applyFill="1" applyBorder="1" applyAlignment="1">
      <alignment horizontal="center" vertical="center"/>
    </xf>
    <xf numFmtId="38" fontId="15" fillId="0" borderId="0" xfId="2" applyFont="1" applyFill="1" applyBorder="1" applyAlignment="1">
      <alignment horizontal="center" vertical="center"/>
    </xf>
    <xf numFmtId="180" fontId="7" fillId="0" borderId="0" xfId="2" applyNumberFormat="1" applyFont="1" applyFill="1" applyBorder="1" applyAlignment="1">
      <alignment horizontal="center" vertical="center"/>
    </xf>
    <xf numFmtId="201" fontId="7" fillId="0" borderId="0" xfId="1" applyNumberFormat="1" applyFont="1" applyAlignment="1">
      <alignment horizontal="center" vertical="center"/>
    </xf>
    <xf numFmtId="38" fontId="7" fillId="0" borderId="12" xfId="2" applyFont="1" applyBorder="1" applyAlignment="1">
      <alignment horizontal="center" vertical="center"/>
    </xf>
    <xf numFmtId="180" fontId="7" fillId="0" borderId="12" xfId="2" applyNumberFormat="1" applyFont="1" applyBorder="1" applyAlignment="1">
      <alignment horizontal="center" vertical="center"/>
    </xf>
    <xf numFmtId="0" fontId="7" fillId="0" borderId="2" xfId="1" applyFont="1" applyBorder="1" applyAlignment="1">
      <alignment horizontal="center" vertical="center"/>
    </xf>
    <xf numFmtId="192" fontId="7" fillId="0" borderId="0" xfId="1" applyNumberFormat="1" applyFont="1" applyAlignment="1">
      <alignment vertical="center"/>
    </xf>
    <xf numFmtId="0" fontId="7" fillId="0" borderId="21" xfId="1" applyFont="1" applyBorder="1" applyAlignment="1">
      <alignment horizontal="center" vertical="center"/>
    </xf>
    <xf numFmtId="38" fontId="7" fillId="0" borderId="19" xfId="2" applyFont="1" applyFill="1" applyBorder="1" applyAlignment="1">
      <alignment horizontal="center" vertical="center"/>
    </xf>
    <xf numFmtId="38" fontId="7" fillId="0" borderId="31" xfId="2" applyFont="1" applyFill="1" applyBorder="1" applyAlignment="1">
      <alignment horizontal="center" vertical="center"/>
    </xf>
    <xf numFmtId="38" fontId="7" fillId="0" borderId="21" xfId="2" applyFont="1" applyFill="1" applyBorder="1" applyAlignment="1">
      <alignment horizontal="center" vertical="center"/>
    </xf>
    <xf numFmtId="0" fontId="3" fillId="0" borderId="0" xfId="1" applyFont="1" applyFill="1" applyAlignment="1">
      <alignment vertical="center"/>
    </xf>
    <xf numFmtId="0" fontId="2" fillId="0" borderId="0" xfId="1" applyFill="1" applyAlignment="1">
      <alignment vertical="center"/>
    </xf>
    <xf numFmtId="0" fontId="3" fillId="0" borderId="0" xfId="1" applyFont="1" applyFill="1" applyAlignment="1">
      <alignment horizontal="left" vertical="center"/>
    </xf>
    <xf numFmtId="0" fontId="9" fillId="0" borderId="10" xfId="1" applyFont="1" applyFill="1" applyBorder="1" applyAlignment="1">
      <alignment horizontal="right"/>
    </xf>
    <xf numFmtId="0" fontId="7" fillId="0" borderId="22"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2" xfId="1" applyFont="1" applyFill="1" applyBorder="1" applyAlignment="1">
      <alignment horizontal="center" vertical="center" shrinkToFi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xf>
    <xf numFmtId="0" fontId="7" fillId="0" borderId="19" xfId="1" applyFont="1" applyFill="1" applyBorder="1" applyAlignment="1">
      <alignment horizontal="center" vertical="center"/>
    </xf>
    <xf numFmtId="192" fontId="7" fillId="0" borderId="19" xfId="1" applyNumberFormat="1" applyFont="1" applyFill="1" applyBorder="1" applyAlignment="1">
      <alignment horizontal="center" vertical="center"/>
    </xf>
    <xf numFmtId="192" fontId="7" fillId="0" borderId="0" xfId="1" applyNumberFormat="1" applyFont="1" applyFill="1" applyAlignment="1">
      <alignment horizontal="center" vertical="center"/>
    </xf>
    <xf numFmtId="192" fontId="7" fillId="0" borderId="0" xfId="1" applyNumberFormat="1" applyFont="1" applyFill="1" applyAlignment="1">
      <alignment vertical="center"/>
    </xf>
    <xf numFmtId="0" fontId="7" fillId="0" borderId="31" xfId="1" applyFont="1" applyFill="1" applyBorder="1" applyAlignment="1">
      <alignment horizontal="center" vertical="center"/>
    </xf>
    <xf numFmtId="192" fontId="7" fillId="0" borderId="31" xfId="1" applyNumberFormat="1" applyFont="1" applyFill="1" applyBorder="1" applyAlignment="1">
      <alignment horizontal="center" vertical="center"/>
    </xf>
    <xf numFmtId="192" fontId="7" fillId="0" borderId="33" xfId="1" applyNumberFormat="1" applyFont="1" applyFill="1" applyBorder="1" applyAlignment="1">
      <alignment horizontal="center" vertical="center"/>
    </xf>
    <xf numFmtId="0" fontId="7" fillId="0" borderId="21" xfId="1" applyFont="1" applyFill="1" applyBorder="1" applyAlignment="1">
      <alignment horizontal="center" vertical="center"/>
    </xf>
    <xf numFmtId="192" fontId="7" fillId="0" borderId="21" xfId="1" applyNumberFormat="1" applyFont="1" applyFill="1" applyBorder="1" applyAlignment="1">
      <alignment horizontal="center" vertical="center"/>
    </xf>
    <xf numFmtId="192" fontId="7" fillId="0" borderId="10" xfId="1" applyNumberFormat="1" applyFont="1" applyFill="1" applyBorder="1" applyAlignment="1">
      <alignment horizontal="center" vertical="center"/>
    </xf>
    <xf numFmtId="0" fontId="7" fillId="0" borderId="0" xfId="1" applyFont="1" applyFill="1" applyAlignment="1">
      <alignment horizontal="left"/>
    </xf>
    <xf numFmtId="192" fontId="7" fillId="0" borderId="30" xfId="1" applyNumberFormat="1" applyFont="1" applyFill="1" applyBorder="1" applyAlignment="1">
      <alignment horizontal="center" vertical="center"/>
    </xf>
    <xf numFmtId="0" fontId="9" fillId="0" borderId="0" xfId="1" applyFont="1" applyFill="1" applyAlignment="1">
      <alignment horizontal="right"/>
    </xf>
    <xf numFmtId="0" fontId="7" fillId="0" borderId="28"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19" xfId="1" applyFont="1" applyFill="1" applyBorder="1" applyAlignment="1">
      <alignment vertical="center"/>
    </xf>
    <xf numFmtId="0" fontId="7" fillId="0" borderId="20" xfId="1" applyFont="1" applyFill="1" applyBorder="1" applyAlignment="1">
      <alignment horizontal="center" vertical="center"/>
    </xf>
    <xf numFmtId="0" fontId="26" fillId="0" borderId="0" xfId="1" applyFont="1" applyFill="1" applyAlignment="1">
      <alignment vertical="center"/>
    </xf>
    <xf numFmtId="38" fontId="7" fillId="0" borderId="20" xfId="2" applyFont="1" applyFill="1" applyBorder="1" applyAlignment="1">
      <alignment horizontal="center" vertical="center"/>
    </xf>
    <xf numFmtId="0" fontId="7" fillId="0" borderId="12" xfId="1" applyFont="1" applyBorder="1" applyAlignment="1">
      <alignment horizontal="center" vertical="center"/>
    </xf>
    <xf numFmtId="38" fontId="7" fillId="0" borderId="30" xfId="2" applyFont="1" applyFill="1" applyBorder="1" applyAlignment="1">
      <alignment horizontal="center" vertical="center"/>
    </xf>
    <xf numFmtId="0" fontId="7" fillId="0" borderId="21" xfId="2" applyNumberFormat="1" applyFont="1" applyFill="1" applyBorder="1" applyAlignment="1">
      <alignment horizontal="center" vertical="center"/>
    </xf>
    <xf numFmtId="0" fontId="7" fillId="0" borderId="1" xfId="1" applyFont="1" applyFill="1" applyBorder="1" applyAlignment="1">
      <alignment vertical="center"/>
    </xf>
    <xf numFmtId="0" fontId="7" fillId="0" borderId="0" xfId="1" applyFont="1" applyFill="1" applyAlignment="1">
      <alignment horizontal="center" vertical="center"/>
    </xf>
    <xf numFmtId="181" fontId="7" fillId="0" borderId="0" xfId="1" applyNumberFormat="1" applyFont="1" applyFill="1" applyAlignment="1">
      <alignment horizontal="center" vertical="center"/>
    </xf>
    <xf numFmtId="0" fontId="7" fillId="0" borderId="33" xfId="1" applyFont="1" applyFill="1" applyBorder="1" applyAlignment="1">
      <alignment horizontal="center" vertical="center"/>
    </xf>
    <xf numFmtId="181" fontId="7" fillId="0" borderId="19" xfId="1" applyNumberFormat="1" applyFont="1" applyFill="1" applyBorder="1" applyAlignment="1">
      <alignment horizontal="center" vertical="center"/>
    </xf>
    <xf numFmtId="0" fontId="7" fillId="0" borderId="10" xfId="1" applyFont="1" applyFill="1" applyBorder="1" applyAlignment="1">
      <alignment horizontal="center" vertical="center"/>
    </xf>
    <xf numFmtId="0" fontId="7" fillId="0" borderId="13" xfId="1" applyFont="1" applyFill="1" applyBorder="1" applyAlignment="1">
      <alignment horizontal="left"/>
    </xf>
    <xf numFmtId="0" fontId="3" fillId="0" borderId="13" xfId="1" applyFont="1" applyFill="1" applyBorder="1" applyAlignment="1">
      <alignment horizontal="left" vertical="center"/>
    </xf>
    <xf numFmtId="0" fontId="2" fillId="0" borderId="13" xfId="1" applyFill="1" applyBorder="1" applyAlignment="1">
      <alignment vertical="center"/>
    </xf>
    <xf numFmtId="0" fontId="9" fillId="0" borderId="13" xfId="1" applyFont="1" applyFill="1" applyBorder="1" applyAlignment="1">
      <alignment horizontal="right"/>
    </xf>
    <xf numFmtId="0" fontId="2" fillId="0" borderId="17" xfId="1" applyFill="1" applyBorder="1" applyAlignment="1">
      <alignment vertical="center"/>
    </xf>
    <xf numFmtId="0" fontId="7" fillId="0" borderId="22" xfId="1" applyFont="1" applyFill="1" applyBorder="1" applyAlignment="1">
      <alignment vertical="center"/>
    </xf>
    <xf numFmtId="0" fontId="7" fillId="0" borderId="3" xfId="1" applyFont="1" applyFill="1" applyBorder="1" applyAlignment="1">
      <alignment horizontal="center" vertical="center" wrapText="1"/>
    </xf>
    <xf numFmtId="41" fontId="7" fillId="0" borderId="0" xfId="1" applyNumberFormat="1" applyFont="1" applyFill="1" applyAlignment="1">
      <alignment vertical="center"/>
    </xf>
    <xf numFmtId="0" fontId="7" fillId="0" borderId="12" xfId="1" applyFont="1" applyFill="1" applyBorder="1" applyAlignment="1">
      <alignment horizontal="center" vertical="center"/>
    </xf>
    <xf numFmtId="38" fontId="7" fillId="0" borderId="0" xfId="1" applyNumberFormat="1" applyFont="1" applyFill="1" applyAlignment="1">
      <alignment vertical="center"/>
    </xf>
    <xf numFmtId="0" fontId="7" fillId="0" borderId="17" xfId="1" applyFont="1" applyFill="1" applyBorder="1" applyAlignment="1">
      <alignment vertical="center"/>
    </xf>
    <xf numFmtId="38" fontId="7" fillId="0" borderId="17" xfId="1" applyNumberFormat="1" applyFont="1" applyFill="1" applyBorder="1" applyAlignment="1">
      <alignment vertical="center"/>
    </xf>
    <xf numFmtId="0" fontId="7" fillId="0" borderId="0" xfId="1" applyFont="1" applyFill="1" applyAlignment="1">
      <alignment horizontal="left" vertical="center"/>
    </xf>
    <xf numFmtId="49" fontId="7" fillId="0" borderId="10" xfId="1" applyNumberFormat="1" applyFont="1" applyBorder="1"/>
    <xf numFmtId="49" fontId="7" fillId="0" borderId="10" xfId="1" applyNumberFormat="1" applyFont="1" applyBorder="1" applyAlignment="1">
      <alignment horizontal="right"/>
    </xf>
    <xf numFmtId="49" fontId="7" fillId="0" borderId="5" xfId="1" applyNumberFormat="1" applyFont="1" applyBorder="1" applyAlignment="1">
      <alignment horizontal="center" vertical="center" wrapText="1"/>
    </xf>
    <xf numFmtId="49" fontId="7" fillId="0" borderId="18" xfId="1" applyNumberFormat="1" applyFont="1" applyBorder="1" applyAlignment="1">
      <alignment horizontal="right" vertical="center"/>
    </xf>
    <xf numFmtId="49" fontId="7" fillId="0" borderId="19" xfId="1" applyNumberFormat="1" applyFont="1" applyBorder="1" applyAlignment="1">
      <alignment horizontal="right" vertical="center"/>
    </xf>
    <xf numFmtId="49" fontId="7" fillId="0" borderId="20" xfId="1" applyNumberFormat="1" applyFont="1" applyBorder="1" applyAlignment="1">
      <alignment horizontal="right" vertical="center"/>
    </xf>
    <xf numFmtId="49" fontId="7" fillId="0" borderId="0" xfId="1" applyNumberFormat="1" applyFont="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6" xfId="1" applyFont="1" applyBorder="1" applyAlignment="1">
      <alignment horizontal="center" vertical="center"/>
    </xf>
    <xf numFmtId="0" fontId="7" fillId="0" borderId="32" xfId="1" applyFont="1" applyBorder="1" applyAlignment="1">
      <alignment horizontal="center" vertical="center"/>
    </xf>
    <xf numFmtId="181" fontId="11" fillId="0" borderId="19" xfId="1" applyNumberFormat="1" applyFont="1" applyBorder="1" applyAlignment="1">
      <alignment horizontal="center" vertical="center"/>
    </xf>
    <xf numFmtId="0" fontId="17" fillId="0" borderId="0" xfId="1" applyFont="1"/>
    <xf numFmtId="0" fontId="7" fillId="0" borderId="18" xfId="1" applyFont="1" applyBorder="1" applyAlignment="1">
      <alignment horizontal="left" vertical="center"/>
    </xf>
    <xf numFmtId="0" fontId="7" fillId="0" borderId="19"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29" xfId="1" applyFont="1" applyBorder="1" applyAlignment="1">
      <alignment horizontal="left" vertical="center"/>
    </xf>
    <xf numFmtId="0" fontId="7" fillId="0" borderId="31"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27" xfId="1" applyFont="1" applyBorder="1" applyAlignment="1">
      <alignment horizontal="left" vertical="center"/>
    </xf>
    <xf numFmtId="0" fontId="7" fillId="0" borderId="26" xfId="1" applyFont="1" applyBorder="1" applyAlignment="1">
      <alignment horizontal="center" vertical="center" shrinkToFit="1"/>
    </xf>
    <xf numFmtId="0" fontId="7" fillId="0" borderId="0" xfId="1" applyFont="1" applyAlignment="1">
      <alignment horizontal="center" vertical="center" shrinkToFit="1"/>
    </xf>
    <xf numFmtId="0" fontId="7" fillId="0" borderId="33" xfId="1" applyFont="1" applyBorder="1" applyAlignment="1">
      <alignment horizontal="center" vertical="center" shrinkToFit="1"/>
    </xf>
    <xf numFmtId="0" fontId="7" fillId="0" borderId="32" xfId="1" applyFont="1" applyBorder="1" applyAlignment="1">
      <alignment horizontal="center" vertical="center" shrinkToFit="1"/>
    </xf>
    <xf numFmtId="0" fontId="11" fillId="0" borderId="27" xfId="1" applyFont="1" applyBorder="1" applyAlignment="1">
      <alignment horizontal="left" vertical="center"/>
    </xf>
    <xf numFmtId="0" fontId="11" fillId="0" borderId="28" xfId="1" applyFont="1" applyBorder="1" applyAlignment="1">
      <alignment horizontal="center" vertical="center" shrinkToFit="1"/>
    </xf>
    <xf numFmtId="0" fontId="11" fillId="0" borderId="26" xfId="1" applyFont="1" applyBorder="1" applyAlignment="1">
      <alignment horizontal="center" vertical="center" shrinkToFit="1"/>
    </xf>
    <xf numFmtId="0" fontId="11" fillId="0" borderId="29" xfId="1" applyFont="1" applyBorder="1" applyAlignment="1">
      <alignment horizontal="left" vertical="center"/>
    </xf>
    <xf numFmtId="0" fontId="11" fillId="0" borderId="31" xfId="1" applyFont="1" applyBorder="1" applyAlignment="1">
      <alignment horizontal="center" vertical="center" shrinkToFit="1"/>
    </xf>
    <xf numFmtId="0" fontId="11" fillId="0" borderId="27" xfId="1" applyFont="1" applyBorder="1" applyAlignment="1">
      <alignment vertical="center"/>
    </xf>
    <xf numFmtId="0" fontId="7" fillId="0" borderId="11" xfId="1" applyFont="1" applyBorder="1" applyAlignment="1">
      <alignment vertical="center"/>
    </xf>
    <xf numFmtId="0" fontId="7" fillId="0" borderId="21" xfId="1" applyFont="1" applyBorder="1" applyAlignment="1">
      <alignment horizontal="center" vertical="center"/>
    </xf>
    <xf numFmtId="0" fontId="7" fillId="0" borderId="21"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0" xfId="1" applyFont="1" applyBorder="1" applyAlignment="1">
      <alignment horizontal="center" vertical="center" shrinkToFit="1"/>
    </xf>
    <xf numFmtId="0" fontId="16" fillId="0" borderId="0" xfId="1" applyFont="1" applyAlignment="1">
      <alignment vertical="center"/>
    </xf>
    <xf numFmtId="0" fontId="7" fillId="0" borderId="18" xfId="1" applyFont="1" applyBorder="1" applyAlignment="1">
      <alignment horizontal="center" vertical="center"/>
    </xf>
    <xf numFmtId="0" fontId="7" fillId="0" borderId="20" xfId="1" applyFont="1" applyBorder="1" applyAlignment="1">
      <alignment horizontal="center" vertical="center"/>
    </xf>
    <xf numFmtId="0" fontId="7" fillId="0" borderId="30" xfId="1" applyFont="1" applyBorder="1" applyAlignment="1">
      <alignment horizontal="center" vertical="center"/>
    </xf>
    <xf numFmtId="0" fontId="7" fillId="0" borderId="27" xfId="1" applyFont="1" applyBorder="1" applyAlignment="1">
      <alignment horizontal="center" vertical="center"/>
    </xf>
    <xf numFmtId="0" fontId="7" fillId="0" borderId="31" xfId="1" applyFont="1" applyBorder="1" applyAlignment="1">
      <alignment horizontal="center" vertical="center"/>
    </xf>
    <xf numFmtId="0" fontId="7" fillId="0" borderId="0" xfId="1" applyFont="1" applyAlignment="1">
      <alignment horizontal="center" vertical="center"/>
    </xf>
    <xf numFmtId="0" fontId="7" fillId="0" borderId="19" xfId="1" applyFont="1" applyBorder="1" applyAlignment="1">
      <alignment horizontal="center" vertical="center"/>
    </xf>
    <xf numFmtId="0" fontId="7" fillId="0" borderId="19"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0" xfId="1" applyFont="1" applyAlignment="1">
      <alignment horizontal="right"/>
    </xf>
    <xf numFmtId="49" fontId="7" fillId="0" borderId="18"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6" xfId="1" applyNumberFormat="1" applyFont="1" applyBorder="1" applyAlignment="1">
      <alignment horizontal="center" vertical="center"/>
    </xf>
    <xf numFmtId="0" fontId="7" fillId="0" borderId="10" xfId="1" applyFont="1" applyBorder="1" applyAlignment="1">
      <alignment horizontal="right"/>
    </xf>
    <xf numFmtId="0" fontId="7" fillId="0" borderId="11" xfId="1" applyFont="1" applyFill="1" applyBorder="1" applyAlignment="1">
      <alignment horizontal="center" vertical="center"/>
    </xf>
    <xf numFmtId="0" fontId="7" fillId="0" borderId="18" xfId="1" applyFont="1" applyFill="1" applyBorder="1" applyAlignment="1">
      <alignment horizontal="center" vertical="center"/>
    </xf>
    <xf numFmtId="49" fontId="7" fillId="0" borderId="5" xfId="1" applyNumberFormat="1" applyFont="1" applyBorder="1" applyAlignment="1">
      <alignment horizontal="center" vertical="center"/>
    </xf>
    <xf numFmtId="0" fontId="7" fillId="0" borderId="21" xfId="1" applyFont="1" applyBorder="1" applyAlignment="1">
      <alignment horizontal="center" vertical="center"/>
    </xf>
    <xf numFmtId="0" fontId="33" fillId="0" borderId="5" xfId="1" applyFont="1" applyBorder="1" applyAlignment="1">
      <alignment horizontal="center" vertical="center"/>
    </xf>
    <xf numFmtId="0" fontId="33" fillId="0" borderId="6" xfId="1" applyFont="1" applyBorder="1" applyAlignment="1">
      <alignment horizontal="center" vertical="center"/>
    </xf>
    <xf numFmtId="0" fontId="6" fillId="0" borderId="32" xfId="1" applyFont="1" applyBorder="1" applyAlignment="1">
      <alignment vertical="center"/>
    </xf>
    <xf numFmtId="0" fontId="6" fillId="0" borderId="27" xfId="1" applyFont="1" applyBorder="1" applyAlignment="1">
      <alignment vertical="center"/>
    </xf>
    <xf numFmtId="49" fontId="7" fillId="0" borderId="18"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1" xfId="1" applyNumberFormat="1" applyFont="1" applyBorder="1" applyAlignment="1">
      <alignment horizontal="left" vertical="center"/>
    </xf>
    <xf numFmtId="3" fontId="7" fillId="0" borderId="21" xfId="1" applyNumberFormat="1" applyFont="1" applyBorder="1" applyAlignment="1">
      <alignment horizontal="center" vertical="center"/>
    </xf>
    <xf numFmtId="193" fontId="7" fillId="0" borderId="21" xfId="1" applyNumberFormat="1" applyFont="1" applyBorder="1" applyAlignment="1">
      <alignment horizontal="center" vertical="center"/>
    </xf>
    <xf numFmtId="3" fontId="7" fillId="0" borderId="0" xfId="1" applyNumberFormat="1" applyFont="1" applyAlignment="1">
      <alignment horizontal="center" vertical="center"/>
    </xf>
    <xf numFmtId="3" fontId="7" fillId="0" borderId="0" xfId="1" applyNumberFormat="1" applyFont="1" applyAlignment="1">
      <alignment horizontal="left" vertical="center"/>
    </xf>
    <xf numFmtId="0" fontId="6" fillId="0" borderId="10" xfId="1" applyFont="1" applyBorder="1" applyAlignment="1">
      <alignment vertical="center"/>
    </xf>
    <xf numFmtId="38" fontId="7" fillId="0" borderId="0" xfId="2" applyFont="1" applyFill="1" applyBorder="1" applyAlignment="1">
      <alignment horizontal="right" vertical="center"/>
    </xf>
    <xf numFmtId="190" fontId="7" fillId="0" borderId="20" xfId="2" applyNumberFormat="1" applyFont="1" applyFill="1" applyBorder="1" applyAlignment="1">
      <alignment vertical="center"/>
    </xf>
    <xf numFmtId="3" fontId="7" fillId="0" borderId="19" xfId="1" applyNumberFormat="1" applyFont="1" applyBorder="1" applyAlignment="1">
      <alignment vertical="center"/>
    </xf>
    <xf numFmtId="3" fontId="7" fillId="0" borderId="20" xfId="1" applyNumberFormat="1" applyFont="1" applyBorder="1" applyAlignment="1">
      <alignment vertical="center"/>
    </xf>
    <xf numFmtId="0" fontId="7" fillId="0" borderId="20" xfId="1" applyFont="1" applyBorder="1" applyAlignment="1">
      <alignment vertical="center"/>
    </xf>
    <xf numFmtId="190" fontId="7" fillId="0" borderId="20" xfId="2" applyNumberFormat="1" applyFont="1" applyFill="1" applyBorder="1" applyAlignment="1">
      <alignment horizontal="center" vertical="center"/>
    </xf>
    <xf numFmtId="38" fontId="7" fillId="0" borderId="10" xfId="2" applyFont="1" applyFill="1" applyBorder="1" applyAlignment="1">
      <alignment horizontal="right" vertical="center"/>
    </xf>
    <xf numFmtId="190" fontId="7" fillId="0" borderId="12" xfId="2" applyNumberFormat="1" applyFont="1" applyFill="1" applyBorder="1" applyAlignment="1">
      <alignment vertical="center"/>
    </xf>
    <xf numFmtId="190" fontId="7" fillId="0" borderId="21" xfId="2" applyNumberFormat="1" applyFont="1" applyFill="1" applyBorder="1" applyAlignment="1">
      <alignment vertical="center"/>
    </xf>
    <xf numFmtId="3" fontId="7" fillId="0" borderId="21" xfId="1" applyNumberFormat="1" applyFont="1" applyBorder="1" applyAlignment="1">
      <alignment vertical="center"/>
    </xf>
    <xf numFmtId="3" fontId="7" fillId="0" borderId="12" xfId="1" applyNumberFormat="1" applyFont="1" applyBorder="1" applyAlignment="1">
      <alignment vertical="center"/>
    </xf>
    <xf numFmtId="0" fontId="7" fillId="0" borderId="12" xfId="1" applyFont="1" applyBorder="1" applyAlignment="1">
      <alignment vertical="center"/>
    </xf>
    <xf numFmtId="0" fontId="3" fillId="0" borderId="0" xfId="10" applyFont="1" applyAlignment="1">
      <alignment vertical="center"/>
    </xf>
    <xf numFmtId="0" fontId="7" fillId="0" borderId="0" xfId="10" applyFont="1" applyAlignment="1">
      <alignment vertical="center"/>
    </xf>
    <xf numFmtId="0" fontId="7" fillId="0" borderId="24" xfId="10" applyFont="1" applyBorder="1" applyAlignment="1">
      <alignment horizontal="center" vertical="center"/>
    </xf>
    <xf numFmtId="0" fontId="7" fillId="0" borderId="30" xfId="10" applyFont="1" applyBorder="1" applyAlignment="1">
      <alignment horizontal="center" vertical="center"/>
    </xf>
    <xf numFmtId="0" fontId="7" fillId="0" borderId="6" xfId="10" applyFont="1" applyBorder="1" applyAlignment="1">
      <alignment horizontal="center" vertical="center"/>
    </xf>
    <xf numFmtId="0" fontId="7" fillId="0" borderId="18" xfId="10" applyFont="1" applyBorder="1" applyAlignment="1">
      <alignment horizontal="center" vertical="center"/>
    </xf>
    <xf numFmtId="0" fontId="7" fillId="0" borderId="20" xfId="10" applyFont="1" applyBorder="1" applyAlignment="1">
      <alignment horizontal="right" vertical="center"/>
    </xf>
    <xf numFmtId="0" fontId="7" fillId="0" borderId="26" xfId="10" applyFont="1" applyBorder="1" applyAlignment="1">
      <alignment horizontal="right" vertical="center"/>
    </xf>
    <xf numFmtId="195" fontId="7" fillId="0" borderId="18" xfId="10" applyNumberFormat="1" applyFont="1" applyBorder="1" applyAlignment="1">
      <alignment horizontal="center" vertical="center"/>
    </xf>
    <xf numFmtId="195" fontId="7" fillId="0" borderId="20" xfId="10" applyNumberFormat="1" applyFont="1" applyBorder="1" applyAlignment="1">
      <alignment horizontal="right" vertical="center"/>
    </xf>
    <xf numFmtId="195" fontId="7" fillId="0" borderId="20" xfId="10" applyNumberFormat="1" applyFont="1" applyBorder="1" applyAlignment="1">
      <alignment vertical="center"/>
    </xf>
    <xf numFmtId="179" fontId="7" fillId="0" borderId="20" xfId="10" applyNumberFormat="1" applyFont="1" applyBorder="1" applyAlignment="1">
      <alignment vertical="center"/>
    </xf>
    <xf numFmtId="179" fontId="7" fillId="0" borderId="20" xfId="11" applyNumberFormat="1" applyFont="1" applyFill="1" applyBorder="1" applyAlignment="1">
      <alignment vertical="center"/>
    </xf>
    <xf numFmtId="188" fontId="7" fillId="0" borderId="18" xfId="1" applyNumberFormat="1" applyFont="1" applyBorder="1" applyAlignment="1">
      <alignment horizontal="center" vertical="center"/>
    </xf>
    <xf numFmtId="184" fontId="11" fillId="0" borderId="19" xfId="1" applyNumberFormat="1" applyFont="1" applyBorder="1" applyAlignment="1">
      <alignment horizontal="center" vertical="center"/>
    </xf>
    <xf numFmtId="0" fontId="11" fillId="0" borderId="0" xfId="1" applyFont="1" applyAlignment="1">
      <alignment horizontal="center" vertical="center"/>
    </xf>
    <xf numFmtId="188" fontId="7" fillId="0" borderId="11" xfId="1" applyNumberFormat="1" applyFont="1" applyBorder="1" applyAlignment="1">
      <alignment horizontal="center" vertical="center"/>
    </xf>
    <xf numFmtId="0" fontId="11" fillId="0" borderId="21" xfId="1" applyFont="1" applyBorder="1" applyAlignment="1">
      <alignment horizontal="center" vertical="center"/>
    </xf>
    <xf numFmtId="184" fontId="11" fillId="0" borderId="21" xfId="1" applyNumberFormat="1" applyFont="1" applyBorder="1" applyAlignment="1">
      <alignment horizontal="center" vertical="center"/>
    </xf>
    <xf numFmtId="0" fontId="11" fillId="0" borderId="10" xfId="1" applyFont="1" applyBorder="1" applyAlignment="1">
      <alignment horizontal="center" vertical="center"/>
    </xf>
    <xf numFmtId="0" fontId="34" fillId="0" borderId="0" xfId="1" applyFont="1" applyAlignment="1">
      <alignment vertical="center"/>
    </xf>
    <xf numFmtId="0" fontId="27" fillId="0" borderId="0" xfId="1" applyFont="1" applyAlignment="1">
      <alignment vertical="center"/>
    </xf>
    <xf numFmtId="185" fontId="7" fillId="0" borderId="19" xfId="2" applyNumberFormat="1" applyFont="1" applyBorder="1" applyAlignment="1">
      <alignment horizontal="center" vertical="center"/>
    </xf>
    <xf numFmtId="185" fontId="7" fillId="0" borderId="18" xfId="2" applyNumberFormat="1" applyFont="1" applyBorder="1" applyAlignment="1">
      <alignment horizontal="center" vertical="center"/>
    </xf>
    <xf numFmtId="192" fontId="7" fillId="0" borderId="19" xfId="2" applyNumberFormat="1" applyFont="1" applyBorder="1" applyAlignment="1">
      <alignment horizontal="center" vertical="center"/>
    </xf>
    <xf numFmtId="185" fontId="7" fillId="0" borderId="19" xfId="2" applyNumberFormat="1" applyFont="1" applyFill="1" applyBorder="1" applyAlignment="1">
      <alignment horizontal="center" vertical="center"/>
    </xf>
    <xf numFmtId="185" fontId="7" fillId="0" borderId="18" xfId="2" applyNumberFormat="1" applyFont="1" applyFill="1" applyBorder="1" applyAlignment="1">
      <alignment horizontal="center" vertical="center"/>
    </xf>
    <xf numFmtId="192" fontId="7" fillId="0" borderId="19" xfId="2" applyNumberFormat="1" applyFont="1" applyFill="1" applyBorder="1" applyAlignment="1">
      <alignment horizontal="center" vertical="center"/>
    </xf>
    <xf numFmtId="185" fontId="7" fillId="0" borderId="21" xfId="2" applyNumberFormat="1" applyFont="1" applyFill="1" applyBorder="1" applyAlignment="1">
      <alignment horizontal="center" vertical="center"/>
    </xf>
    <xf numFmtId="185" fontId="7" fillId="0" borderId="11" xfId="2" applyNumberFormat="1" applyFont="1" applyFill="1" applyBorder="1" applyAlignment="1">
      <alignment horizontal="center" vertical="center"/>
    </xf>
    <xf numFmtId="192" fontId="7" fillId="0" borderId="21" xfId="2" applyNumberFormat="1" applyFont="1" applyFill="1" applyBorder="1" applyAlignment="1">
      <alignment horizontal="center" vertical="center"/>
    </xf>
    <xf numFmtId="38" fontId="7" fillId="0" borderId="10" xfId="2" applyFont="1" applyFill="1" applyBorder="1" applyAlignment="1">
      <alignment horizontal="center" vertical="center"/>
    </xf>
    <xf numFmtId="38" fontId="6" fillId="0" borderId="0" xfId="1" applyNumberFormat="1" applyFont="1" applyAlignment="1">
      <alignment vertical="center"/>
    </xf>
    <xf numFmtId="183" fontId="7" fillId="0" borderId="18" xfId="1" applyNumberFormat="1" applyFont="1" applyBorder="1" applyAlignment="1">
      <alignment horizontal="center" vertical="center"/>
    </xf>
    <xf numFmtId="183" fontId="7" fillId="0" borderId="11" xfId="1" applyNumberFormat="1" applyFont="1" applyBorder="1" applyAlignment="1">
      <alignment horizontal="center" vertical="center"/>
    </xf>
    <xf numFmtId="0" fontId="34" fillId="0" borderId="0" xfId="1" applyFont="1" applyAlignment="1">
      <alignment horizontal="right"/>
    </xf>
    <xf numFmtId="183" fontId="7" fillId="0" borderId="19" xfId="1" applyNumberFormat="1" applyFont="1" applyBorder="1" applyAlignment="1">
      <alignment horizontal="right" vertical="center"/>
    </xf>
    <xf numFmtId="183" fontId="7" fillId="0" borderId="0" xfId="1" applyNumberFormat="1" applyFont="1" applyAlignment="1">
      <alignment horizontal="right" vertical="center"/>
    </xf>
    <xf numFmtId="0" fontId="7" fillId="0" borderId="31" xfId="1" applyFont="1" applyBorder="1" applyAlignment="1">
      <alignment horizontal="right" vertical="center"/>
    </xf>
    <xf numFmtId="0" fontId="7" fillId="0" borderId="30" xfId="1" applyFont="1" applyBorder="1" applyAlignment="1">
      <alignment horizontal="right" vertical="center"/>
    </xf>
    <xf numFmtId="0" fontId="7" fillId="0" borderId="29" xfId="1" applyFont="1" applyBorder="1" applyAlignment="1">
      <alignment horizontal="right" vertical="center"/>
    </xf>
    <xf numFmtId="183" fontId="7" fillId="0" borderId="30" xfId="1" applyNumberFormat="1" applyFont="1" applyBorder="1" applyAlignment="1">
      <alignment horizontal="right" vertical="center"/>
    </xf>
    <xf numFmtId="183" fontId="7" fillId="0" borderId="20" xfId="1" applyNumberFormat="1" applyFont="1" applyBorder="1" applyAlignment="1">
      <alignment horizontal="right" vertical="center"/>
    </xf>
    <xf numFmtId="183" fontId="7" fillId="0" borderId="26" xfId="1" applyNumberFormat="1" applyFont="1" applyBorder="1" applyAlignment="1">
      <alignment horizontal="right" vertical="center"/>
    </xf>
    <xf numFmtId="0" fontId="7" fillId="0" borderId="28" xfId="1" applyFont="1" applyBorder="1" applyAlignment="1">
      <alignment horizontal="center" vertical="distributed" textRotation="255" justifyLastLine="1"/>
    </xf>
    <xf numFmtId="0" fontId="28" fillId="0" borderId="28" xfId="1" applyFont="1" applyBorder="1" applyAlignment="1">
      <alignment vertical="distributed" textRotation="255" wrapText="1" justifyLastLine="1"/>
    </xf>
    <xf numFmtId="0" fontId="7" fillId="0" borderId="4" xfId="1" applyFont="1" applyBorder="1" applyAlignment="1">
      <alignment vertical="center"/>
    </xf>
    <xf numFmtId="0" fontId="7" fillId="0" borderId="5" xfId="1" applyFont="1" applyBorder="1" applyAlignment="1">
      <alignment horizontal="right" vertical="center"/>
    </xf>
    <xf numFmtId="0" fontId="7" fillId="0" borderId="4" xfId="1" applyFont="1" applyBorder="1" applyAlignment="1">
      <alignment horizontal="right" vertical="center"/>
    </xf>
    <xf numFmtId="0" fontId="7" fillId="0" borderId="6" xfId="1" applyFont="1" applyBorder="1" applyAlignment="1">
      <alignment horizontal="right" vertical="center"/>
    </xf>
    <xf numFmtId="0" fontId="7" fillId="0" borderId="33" xfId="1" applyFont="1" applyBorder="1" applyAlignment="1">
      <alignment horizontal="right" vertical="center"/>
    </xf>
    <xf numFmtId="183" fontId="7" fillId="0" borderId="18" xfId="1" applyNumberFormat="1" applyFont="1" applyBorder="1" applyAlignment="1">
      <alignment horizontal="right" vertical="center"/>
    </xf>
    <xf numFmtId="184" fontId="7" fillId="0" borderId="30" xfId="1" applyNumberFormat="1" applyFont="1" applyBorder="1" applyAlignment="1">
      <alignment horizontal="right" vertical="center"/>
    </xf>
    <xf numFmtId="183" fontId="7" fillId="0" borderId="27" xfId="1" applyNumberFormat="1" applyFont="1" applyBorder="1" applyAlignment="1">
      <alignment horizontal="right" vertical="center"/>
    </xf>
    <xf numFmtId="184" fontId="7" fillId="0" borderId="20" xfId="1" applyNumberFormat="1" applyFont="1" applyBorder="1" applyAlignment="1">
      <alignment horizontal="right" vertical="center"/>
    </xf>
    <xf numFmtId="183" fontId="7" fillId="0" borderId="33" xfId="1" applyNumberFormat="1" applyFont="1" applyBorder="1" applyAlignment="1">
      <alignment horizontal="right" vertical="center"/>
    </xf>
    <xf numFmtId="183" fontId="7" fillId="0" borderId="32" xfId="1" applyNumberFormat="1" applyFont="1" applyBorder="1" applyAlignment="1">
      <alignment horizontal="right" vertical="center"/>
    </xf>
    <xf numFmtId="184" fontId="7" fillId="0" borderId="26" xfId="1" applyNumberFormat="1" applyFont="1" applyBorder="1" applyAlignment="1">
      <alignment horizontal="right" vertical="center"/>
    </xf>
    <xf numFmtId="183" fontId="7" fillId="0" borderId="29" xfId="1" applyNumberFormat="1" applyFont="1" applyBorder="1" applyAlignment="1">
      <alignment horizontal="right" vertical="center"/>
    </xf>
    <xf numFmtId="0" fontId="7" fillId="2" borderId="27" xfId="1" applyFont="1" applyFill="1" applyBorder="1" applyAlignment="1">
      <alignment horizontal="right" vertical="center"/>
    </xf>
    <xf numFmtId="0" fontId="7" fillId="2" borderId="28" xfId="1" applyFont="1" applyFill="1" applyBorder="1" applyAlignment="1">
      <alignment vertical="center"/>
    </xf>
    <xf numFmtId="0" fontId="7" fillId="2" borderId="28" xfId="1" applyFont="1" applyFill="1" applyBorder="1" applyAlignment="1">
      <alignment horizontal="right" vertical="center"/>
    </xf>
    <xf numFmtId="183" fontId="7" fillId="2" borderId="27" xfId="1" applyNumberFormat="1" applyFont="1" applyFill="1" applyBorder="1" applyAlignment="1">
      <alignment horizontal="right" vertical="center"/>
    </xf>
    <xf numFmtId="183" fontId="7" fillId="2" borderId="26" xfId="1" applyNumberFormat="1" applyFont="1" applyFill="1" applyBorder="1" applyAlignment="1">
      <alignment horizontal="right" vertical="center"/>
    </xf>
    <xf numFmtId="0" fontId="7" fillId="2" borderId="18" xfId="1" applyFont="1" applyFill="1" applyBorder="1" applyAlignment="1">
      <alignment horizontal="right" vertical="center"/>
    </xf>
    <xf numFmtId="0" fontId="7" fillId="2" borderId="19" xfId="1" applyFont="1" applyFill="1" applyBorder="1" applyAlignment="1">
      <alignment horizontal="right" vertical="center"/>
    </xf>
    <xf numFmtId="183" fontId="7" fillId="2" borderId="18" xfId="1" applyNumberFormat="1" applyFont="1" applyFill="1" applyBorder="1" applyAlignment="1">
      <alignment horizontal="right" vertical="center"/>
    </xf>
    <xf numFmtId="183" fontId="7" fillId="2" borderId="20" xfId="1" applyNumberFormat="1" applyFont="1" applyFill="1" applyBorder="1" applyAlignment="1">
      <alignment horizontal="right" vertical="center"/>
    </xf>
    <xf numFmtId="0" fontId="7" fillId="2" borderId="29" xfId="1" applyFont="1" applyFill="1" applyBorder="1" applyAlignment="1">
      <alignment horizontal="right" vertical="center"/>
    </xf>
    <xf numFmtId="0" fontId="7" fillId="2" borderId="31" xfId="1" applyFont="1" applyFill="1" applyBorder="1" applyAlignment="1">
      <alignment horizontal="right" vertical="center"/>
    </xf>
    <xf numFmtId="183" fontId="7" fillId="2" borderId="29" xfId="1" applyNumberFormat="1" applyFont="1" applyFill="1" applyBorder="1" applyAlignment="1">
      <alignment horizontal="right" vertical="center"/>
    </xf>
    <xf numFmtId="183" fontId="7" fillId="2" borderId="30" xfId="1" applyNumberFormat="1" applyFont="1" applyFill="1" applyBorder="1" applyAlignment="1">
      <alignment horizontal="right" vertical="center"/>
    </xf>
    <xf numFmtId="183" fontId="7" fillId="2" borderId="31" xfId="1" applyNumberFormat="1" applyFont="1" applyFill="1" applyBorder="1" applyAlignment="1">
      <alignment horizontal="right" vertical="center"/>
    </xf>
    <xf numFmtId="0" fontId="7" fillId="0" borderId="21" xfId="1" applyFont="1" applyBorder="1" applyAlignment="1">
      <alignment horizontal="right" vertical="center"/>
    </xf>
    <xf numFmtId="0" fontId="7" fillId="0" borderId="12" xfId="1" applyFont="1" applyBorder="1" applyAlignment="1">
      <alignment horizontal="right" vertical="center"/>
    </xf>
    <xf numFmtId="0" fontId="7" fillId="2" borderId="20" xfId="1" applyFont="1" applyFill="1" applyBorder="1" applyAlignment="1">
      <alignment horizontal="right" vertical="center"/>
    </xf>
    <xf numFmtId="0" fontId="7" fillId="2" borderId="21" xfId="1" applyFont="1" applyFill="1" applyBorder="1" applyAlignment="1">
      <alignment horizontal="right" vertical="center"/>
    </xf>
    <xf numFmtId="0" fontId="7" fillId="2" borderId="12" xfId="1" applyFont="1" applyFill="1" applyBorder="1" applyAlignment="1">
      <alignment horizontal="right" vertical="center"/>
    </xf>
    <xf numFmtId="0" fontId="7" fillId="0" borderId="5" xfId="1" applyFont="1" applyBorder="1" applyAlignment="1">
      <alignment vertical="center" textRotation="255"/>
    </xf>
    <xf numFmtId="0" fontId="7" fillId="0" borderId="29" xfId="1" applyFont="1" applyBorder="1" applyAlignment="1">
      <alignment vertical="center" textRotation="255"/>
    </xf>
    <xf numFmtId="0" fontId="7" fillId="0" borderId="5" xfId="1" applyFont="1" applyBorder="1" applyAlignment="1">
      <alignment horizontal="center" vertical="center" textRotation="255"/>
    </xf>
    <xf numFmtId="0" fontId="7" fillId="0" borderId="33" xfId="1" applyFont="1" applyBorder="1" applyAlignment="1">
      <alignment vertical="center" textRotation="255"/>
    </xf>
    <xf numFmtId="0" fontId="7" fillId="0" borderId="10" xfId="1" applyFont="1" applyBorder="1"/>
    <xf numFmtId="183" fontId="7" fillId="2" borderId="19" xfId="1" applyNumberFormat="1" applyFont="1" applyFill="1" applyBorder="1" applyAlignment="1">
      <alignment horizontal="right" vertical="center"/>
    </xf>
    <xf numFmtId="0" fontId="7" fillId="0" borderId="6" xfId="1" applyFont="1" applyBorder="1" applyAlignment="1">
      <alignment vertical="center" textRotation="255" wrapText="1"/>
    </xf>
    <xf numFmtId="0" fontId="7" fillId="0" borderId="6" xfId="1" applyFont="1" applyBorder="1" applyAlignment="1">
      <alignment horizontal="center" vertical="center" textRotation="255" wrapText="1"/>
    </xf>
    <xf numFmtId="0" fontId="7" fillId="0" borderId="0" xfId="1" applyFont="1" applyAlignment="1">
      <alignment vertical="center" textRotation="255"/>
    </xf>
    <xf numFmtId="0" fontId="7" fillId="0" borderId="60" xfId="1" applyFont="1" applyBorder="1" applyAlignment="1">
      <alignment horizontal="center" vertical="center"/>
    </xf>
    <xf numFmtId="179" fontId="7" fillId="0" borderId="61" xfId="2" applyNumberFormat="1" applyFont="1" applyBorder="1" applyAlignment="1">
      <alignment horizontal="center" vertical="center"/>
    </xf>
    <xf numFmtId="179" fontId="7" fillId="0" borderId="61" xfId="1" applyNumberFormat="1" applyFont="1" applyBorder="1" applyAlignment="1">
      <alignment horizontal="center" vertical="center"/>
    </xf>
    <xf numFmtId="179" fontId="7" fillId="0" borderId="60" xfId="1" applyNumberFormat="1" applyFont="1" applyBorder="1" applyAlignment="1">
      <alignment horizontal="center" vertical="center"/>
    </xf>
    <xf numFmtId="179" fontId="7" fillId="0" borderId="62" xfId="1" applyNumberFormat="1" applyFont="1" applyBorder="1" applyAlignment="1">
      <alignment horizontal="center" vertical="center"/>
    </xf>
    <xf numFmtId="179" fontId="7" fillId="0" borderId="62" xfId="2" applyNumberFormat="1" applyFont="1" applyBorder="1" applyAlignment="1">
      <alignment horizontal="center" vertical="center"/>
    </xf>
    <xf numFmtId="179" fontId="7" fillId="0" borderId="73" xfId="2" applyNumberFormat="1" applyFont="1" applyBorder="1" applyAlignment="1">
      <alignment horizontal="center" vertical="center"/>
    </xf>
    <xf numFmtId="179" fontId="7" fillId="0" borderId="73" xfId="1" applyNumberFormat="1" applyFont="1" applyBorder="1" applyAlignment="1">
      <alignment horizontal="center" vertical="center"/>
    </xf>
    <xf numFmtId="179" fontId="7" fillId="0" borderId="74" xfId="1" applyNumberFormat="1" applyFont="1" applyBorder="1" applyAlignment="1">
      <alignment horizontal="center" vertical="center"/>
    </xf>
    <xf numFmtId="179" fontId="7" fillId="0" borderId="75" xfId="1" applyNumberFormat="1" applyFont="1" applyBorder="1" applyAlignment="1">
      <alignment horizontal="center" vertical="center"/>
    </xf>
    <xf numFmtId="179" fontId="7" fillId="0" borderId="75" xfId="2" applyNumberFormat="1" applyFont="1" applyBorder="1" applyAlignment="1">
      <alignment horizontal="center" vertical="center"/>
    </xf>
    <xf numFmtId="0" fontId="7" fillId="0" borderId="74" xfId="1" applyFont="1" applyBorder="1" applyAlignment="1">
      <alignment horizontal="center" vertical="center"/>
    </xf>
    <xf numFmtId="179" fontId="7" fillId="0" borderId="19" xfId="1" applyNumberFormat="1" applyFont="1" applyBorder="1" applyAlignment="1">
      <alignment horizontal="right" vertical="center"/>
    </xf>
    <xf numFmtId="179" fontId="7" fillId="0" borderId="19" xfId="1" applyNumberFormat="1" applyFont="1" applyBorder="1" applyAlignment="1">
      <alignment vertical="center"/>
    </xf>
    <xf numFmtId="179" fontId="7" fillId="0" borderId="18" xfId="1" applyNumberFormat="1" applyFont="1" applyBorder="1" applyAlignment="1">
      <alignment vertical="center"/>
    </xf>
    <xf numFmtId="179" fontId="7" fillId="0" borderId="0" xfId="1" applyNumberFormat="1" applyFont="1" applyAlignment="1">
      <alignment vertical="center"/>
    </xf>
    <xf numFmtId="0" fontId="15" fillId="0" borderId="18" xfId="1" applyFont="1" applyBorder="1" applyAlignment="1">
      <alignment horizontal="center" vertical="center"/>
    </xf>
    <xf numFmtId="179" fontId="15" fillId="0" borderId="19" xfId="1" applyNumberFormat="1" applyFont="1" applyBorder="1" applyAlignment="1">
      <alignment vertical="center"/>
    </xf>
    <xf numFmtId="179" fontId="15" fillId="0" borderId="19" xfId="1" applyNumberFormat="1" applyFont="1" applyBorder="1" applyAlignment="1">
      <alignment horizontal="right" vertical="center"/>
    </xf>
    <xf numFmtId="179" fontId="15" fillId="0" borderId="20" xfId="2" applyNumberFormat="1" applyFont="1" applyFill="1" applyBorder="1" applyAlignment="1">
      <alignment vertical="center"/>
    </xf>
    <xf numFmtId="3" fontId="6" fillId="0" borderId="0" xfId="1" applyNumberFormat="1" applyFont="1" applyAlignment="1">
      <alignment vertical="center"/>
    </xf>
    <xf numFmtId="179" fontId="15" fillId="0" borderId="19" xfId="2" applyNumberFormat="1" applyFont="1" applyFill="1" applyBorder="1" applyAlignment="1">
      <alignment horizontal="right" vertical="center"/>
    </xf>
    <xf numFmtId="179" fontId="11" fillId="0" borderId="19" xfId="2" applyNumberFormat="1" applyFont="1" applyFill="1" applyBorder="1" applyAlignment="1">
      <alignment horizontal="right" vertical="center"/>
    </xf>
    <xf numFmtId="179" fontId="11" fillId="0" borderId="19" xfId="1" applyNumberFormat="1" applyFont="1" applyBorder="1" applyAlignment="1">
      <alignment horizontal="right" vertical="center"/>
    </xf>
    <xf numFmtId="179" fontId="11" fillId="0" borderId="19" xfId="1" applyNumberFormat="1" applyFont="1" applyBorder="1" applyAlignment="1">
      <alignment vertical="center"/>
    </xf>
    <xf numFmtId="179" fontId="11" fillId="0" borderId="20" xfId="2" applyNumberFormat="1" applyFont="1" applyFill="1" applyBorder="1" applyAlignment="1">
      <alignment vertical="center"/>
    </xf>
    <xf numFmtId="0" fontId="0" fillId="0" borderId="0" xfId="0" applyAlignment="1">
      <alignment vertical="top" wrapText="1"/>
    </xf>
    <xf numFmtId="0" fontId="0" fillId="0" borderId="10" xfId="0" applyBorder="1"/>
    <xf numFmtId="0" fontId="37" fillId="0" borderId="0" xfId="0" applyFont="1" applyBorder="1" applyAlignment="1">
      <alignment horizontal="justify" vertical="center" wrapText="1"/>
    </xf>
    <xf numFmtId="0" fontId="37" fillId="0" borderId="0" xfId="0" applyFont="1" applyBorder="1" applyAlignment="1">
      <alignment horizontal="right" vertical="center" wrapText="1"/>
    </xf>
    <xf numFmtId="0" fontId="20" fillId="0" borderId="5" xfId="0" applyFont="1" applyBorder="1" applyAlignment="1">
      <alignment horizontal="justify" vertical="center" wrapText="1"/>
    </xf>
    <xf numFmtId="0" fontId="37" fillId="0" borderId="4" xfId="0" applyFont="1" applyBorder="1" applyAlignment="1">
      <alignment horizontal="center" vertical="center" wrapText="1"/>
    </xf>
    <xf numFmtId="0" fontId="37" fillId="0" borderId="6" xfId="0" applyFont="1" applyBorder="1" applyAlignment="1">
      <alignment horizontal="center" vertical="center" wrapText="1"/>
    </xf>
    <xf numFmtId="0" fontId="20" fillId="0" borderId="0" xfId="0" applyFont="1" applyBorder="1" applyAlignment="1">
      <alignment horizontal="justify" vertical="center" wrapText="1"/>
    </xf>
    <xf numFmtId="57" fontId="20" fillId="0" borderId="0" xfId="0" applyNumberFormat="1" applyFont="1" applyBorder="1" applyAlignment="1">
      <alignment horizontal="justify" vertical="center" wrapText="1"/>
    </xf>
    <xf numFmtId="0" fontId="20" fillId="0" borderId="27" xfId="0" applyFont="1" applyBorder="1" applyAlignment="1">
      <alignment horizontal="justify" vertical="center" wrapText="1"/>
    </xf>
    <xf numFmtId="57" fontId="20" fillId="0" borderId="18" xfId="0" applyNumberFormat="1" applyFont="1" applyBorder="1" applyAlignment="1">
      <alignment horizontal="justify" vertical="center" wrapText="1"/>
    </xf>
    <xf numFmtId="0" fontId="20" fillId="0" borderId="29" xfId="0" applyFont="1" applyBorder="1" applyAlignment="1">
      <alignment horizontal="justify" vertical="center" wrapText="1"/>
    </xf>
    <xf numFmtId="57" fontId="20" fillId="0" borderId="29" xfId="0" applyNumberFormat="1" applyFont="1" applyBorder="1" applyAlignment="1">
      <alignment horizontal="justify" vertical="center" wrapText="1"/>
    </xf>
    <xf numFmtId="0" fontId="20" fillId="0" borderId="18" xfId="0" applyFont="1" applyBorder="1" applyAlignment="1">
      <alignment horizontal="justify" vertical="center" wrapText="1"/>
    </xf>
    <xf numFmtId="0" fontId="20" fillId="0" borderId="4" xfId="0" applyFont="1" applyBorder="1" applyAlignment="1">
      <alignment horizontal="justify" vertical="center" wrapText="1"/>
    </xf>
    <xf numFmtId="0" fontId="40" fillId="0" borderId="29" xfId="0" applyFont="1" applyBorder="1" applyAlignment="1">
      <alignment horizontal="justify" vertical="center" wrapText="1"/>
    </xf>
    <xf numFmtId="0" fontId="0" fillId="0" borderId="0" xfId="0" applyBorder="1"/>
    <xf numFmtId="0" fontId="38" fillId="0" borderId="34" xfId="0" applyFont="1" applyBorder="1" applyAlignment="1">
      <alignment horizontal="justify" vertical="center" wrapText="1"/>
    </xf>
    <xf numFmtId="0" fontId="37" fillId="0" borderId="34" xfId="0" applyFont="1" applyBorder="1" applyAlignment="1">
      <alignment horizontal="justify" vertical="center" wrapText="1"/>
    </xf>
    <xf numFmtId="0" fontId="40" fillId="0" borderId="34" xfId="0" applyFont="1" applyBorder="1" applyAlignment="1">
      <alignment horizontal="justify" vertical="center" wrapText="1"/>
    </xf>
    <xf numFmtId="0" fontId="20" fillId="0" borderId="34" xfId="0" applyFont="1" applyBorder="1" applyAlignment="1">
      <alignment horizontal="justify" vertical="center" wrapText="1"/>
    </xf>
    <xf numFmtId="0" fontId="39" fillId="0" borderId="34" xfId="0" applyFont="1" applyBorder="1" applyAlignment="1">
      <alignment horizontal="justify" vertical="center" wrapText="1"/>
    </xf>
    <xf numFmtId="0" fontId="40" fillId="0" borderId="34" xfId="0" applyFont="1" applyBorder="1" applyAlignment="1">
      <alignment horizontal="justify" vertical="top" wrapText="1"/>
    </xf>
    <xf numFmtId="0" fontId="36" fillId="0" borderId="34" xfId="0" applyFont="1" applyBorder="1" applyAlignment="1">
      <alignment horizontal="justify" vertical="top" wrapText="1"/>
    </xf>
    <xf numFmtId="0" fontId="20" fillId="0" borderId="34" xfId="0" applyFont="1" applyBorder="1" applyAlignment="1">
      <alignment horizontal="left" vertical="top" wrapText="1"/>
    </xf>
    <xf numFmtId="0" fontId="20" fillId="0" borderId="6" xfId="0" applyFont="1" applyBorder="1" applyAlignment="1">
      <alignment horizontal="left" vertical="center" wrapText="1"/>
    </xf>
    <xf numFmtId="0" fontId="20" fillId="0" borderId="34" xfId="0" applyFont="1" applyBorder="1" applyAlignment="1">
      <alignment horizontal="left" vertical="center" wrapText="1"/>
    </xf>
    <xf numFmtId="0" fontId="28" fillId="0" borderId="31" xfId="1" applyFont="1" applyBorder="1" applyAlignment="1">
      <alignment horizontal="center" vertical="center" wrapText="1"/>
    </xf>
    <xf numFmtId="0" fontId="7" fillId="0" borderId="30" xfId="1" applyFont="1" applyBorder="1" applyAlignment="1">
      <alignment horizontal="center" vertical="center" wrapText="1"/>
    </xf>
    <xf numFmtId="0" fontId="7" fillId="2" borderId="19" xfId="1" applyFont="1" applyFill="1" applyBorder="1" applyAlignment="1">
      <alignment horizontal="center" vertical="center"/>
    </xf>
    <xf numFmtId="206" fontId="7" fillId="2" borderId="20" xfId="1" applyNumberFormat="1" applyFont="1" applyFill="1" applyBorder="1" applyAlignment="1">
      <alignment horizontal="center" vertical="center"/>
    </xf>
    <xf numFmtId="207" fontId="7" fillId="0" borderId="0" xfId="1" applyNumberFormat="1" applyFont="1" applyAlignment="1">
      <alignment vertical="center"/>
    </xf>
    <xf numFmtId="0" fontId="7" fillId="2" borderId="20" xfId="1" applyFont="1" applyFill="1" applyBorder="1" applyAlignment="1">
      <alignment horizontal="center" vertical="center"/>
    </xf>
    <xf numFmtId="0" fontId="11" fillId="0" borderId="18" xfId="1" applyFont="1" applyBorder="1" applyAlignment="1">
      <alignment horizontal="distributed" vertical="center"/>
    </xf>
    <xf numFmtId="0" fontId="11" fillId="2" borderId="19" xfId="1" applyFont="1" applyFill="1" applyBorder="1" applyAlignment="1">
      <alignment horizontal="center" vertical="center"/>
    </xf>
    <xf numFmtId="206" fontId="11" fillId="2" borderId="20" xfId="1" applyNumberFormat="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208" fontId="7" fillId="2" borderId="6" xfId="1" applyNumberFormat="1" applyFont="1" applyFill="1" applyBorder="1" applyAlignment="1">
      <alignment horizontal="center" vertical="center"/>
    </xf>
    <xf numFmtId="209" fontId="7" fillId="2" borderId="12" xfId="1" applyNumberFormat="1" applyFont="1" applyFill="1" applyBorder="1" applyAlignment="1">
      <alignment horizontal="center" vertical="center"/>
    </xf>
    <xf numFmtId="199" fontId="7" fillId="2" borderId="21" xfId="1" applyNumberFormat="1" applyFont="1" applyFill="1" applyBorder="1" applyAlignment="1">
      <alignment horizontal="center" vertical="center"/>
    </xf>
    <xf numFmtId="206" fontId="7" fillId="2" borderId="78" xfId="1" applyNumberFormat="1" applyFont="1" applyFill="1" applyBorder="1" applyAlignment="1">
      <alignment horizontal="center" vertical="center"/>
    </xf>
    <xf numFmtId="0" fontId="7" fillId="0" borderId="2" xfId="1" applyFont="1" applyBorder="1" applyAlignment="1">
      <alignment horizontal="centerContinuous" vertical="center"/>
    </xf>
    <xf numFmtId="181" fontId="7" fillId="0" borderId="28" xfId="1" applyNumberFormat="1" applyFont="1" applyBorder="1" applyAlignment="1">
      <alignment horizontal="center" vertical="center"/>
    </xf>
    <xf numFmtId="181" fontId="7" fillId="0" borderId="28" xfId="1" applyNumberFormat="1" applyFont="1" applyBorder="1" applyAlignment="1">
      <alignment horizontal="right" vertical="center"/>
    </xf>
    <xf numFmtId="185" fontId="7" fillId="0" borderId="28" xfId="1" applyNumberFormat="1" applyFont="1" applyBorder="1" applyAlignment="1">
      <alignment horizontal="right" vertical="center"/>
    </xf>
    <xf numFmtId="185" fontId="7" fillId="0" borderId="26" xfId="1" applyNumberFormat="1" applyFont="1" applyBorder="1" applyAlignment="1">
      <alignment horizontal="right" vertical="center"/>
    </xf>
    <xf numFmtId="0" fontId="7" fillId="0" borderId="18" xfId="1" applyFont="1" applyBorder="1" applyAlignment="1">
      <alignment horizontal="distributed" vertical="center" indent="1"/>
    </xf>
    <xf numFmtId="181" fontId="7" fillId="0" borderId="19" xfId="1" applyNumberFormat="1" applyFont="1" applyBorder="1" applyAlignment="1">
      <alignment vertical="center"/>
    </xf>
    <xf numFmtId="194" fontId="7" fillId="0" borderId="19" xfId="1" applyNumberFormat="1" applyFont="1" applyBorder="1" applyAlignment="1">
      <alignment horizontal="center" vertical="center"/>
    </xf>
    <xf numFmtId="202" fontId="7" fillId="0" borderId="19" xfId="1" applyNumberFormat="1" applyFont="1" applyBorder="1" applyAlignment="1">
      <alignment horizontal="center" vertical="center"/>
    </xf>
    <xf numFmtId="202" fontId="7" fillId="0" borderId="20" xfId="1" applyNumberFormat="1" applyFont="1" applyBorder="1" applyAlignment="1">
      <alignment horizontal="center" vertical="center"/>
    </xf>
    <xf numFmtId="194" fontId="7" fillId="0" borderId="19" xfId="1" applyNumberFormat="1" applyFont="1" applyBorder="1" applyAlignment="1">
      <alignment vertical="center"/>
    </xf>
    <xf numFmtId="202" fontId="7" fillId="0" borderId="19" xfId="1" applyNumberFormat="1" applyFont="1" applyBorder="1" applyAlignment="1">
      <alignment vertical="center"/>
    </xf>
    <xf numFmtId="202" fontId="7" fillId="0" borderId="20" xfId="1" applyNumberFormat="1" applyFont="1" applyBorder="1" applyAlignment="1">
      <alignment vertical="center"/>
    </xf>
    <xf numFmtId="181" fontId="7" fillId="0" borderId="19" xfId="1" applyNumberFormat="1" applyFont="1" applyBorder="1" applyAlignment="1">
      <alignment horizontal="center" vertical="center" wrapText="1"/>
    </xf>
    <xf numFmtId="0" fontId="7" fillId="0" borderId="11" xfId="1" applyFont="1" applyBorder="1" applyAlignment="1">
      <alignment horizontal="distributed" vertical="center" indent="1"/>
    </xf>
    <xf numFmtId="181" fontId="7" fillId="0" borderId="21" xfId="1" applyNumberFormat="1" applyFont="1" applyBorder="1" applyAlignment="1">
      <alignment vertical="center"/>
    </xf>
    <xf numFmtId="49" fontId="7" fillId="0" borderId="21" xfId="1" applyNumberFormat="1" applyFont="1" applyBorder="1" applyAlignment="1">
      <alignment horizontal="center" vertical="center"/>
    </xf>
    <xf numFmtId="194" fontId="7" fillId="0" borderId="21" xfId="1" applyNumberFormat="1" applyFont="1" applyBorder="1" applyAlignment="1">
      <alignment vertical="center"/>
    </xf>
    <xf numFmtId="202" fontId="7" fillId="0" borderId="21" xfId="1" applyNumberFormat="1" applyFont="1" applyBorder="1" applyAlignment="1">
      <alignment vertical="center"/>
    </xf>
    <xf numFmtId="202" fontId="7" fillId="0" borderId="12" xfId="1" applyNumberFormat="1" applyFont="1" applyBorder="1" applyAlignment="1">
      <alignment vertical="center"/>
    </xf>
    <xf numFmtId="0" fontId="6" fillId="0" borderId="17" xfId="1" applyFont="1" applyBorder="1" applyAlignment="1">
      <alignment vertical="center"/>
    </xf>
    <xf numFmtId="0" fontId="7" fillId="0" borderId="5" xfId="1" applyFont="1" applyBorder="1" applyAlignment="1">
      <alignment horizontal="center" vertical="center" wrapText="1"/>
    </xf>
    <xf numFmtId="0" fontId="7" fillId="0" borderId="28" xfId="1" applyFont="1" applyBorder="1" applyAlignment="1">
      <alignment horizontal="right" vertical="center" wrapText="1"/>
    </xf>
    <xf numFmtId="0" fontId="7" fillId="0" borderId="27" xfId="1" applyFont="1" applyBorder="1" applyAlignment="1">
      <alignment horizontal="right" vertical="center" wrapText="1"/>
    </xf>
    <xf numFmtId="0" fontId="7" fillId="0" borderId="32" xfId="1" applyFont="1" applyBorder="1" applyAlignment="1">
      <alignment horizontal="right" vertical="center" wrapText="1"/>
    </xf>
    <xf numFmtId="195" fontId="7" fillId="0" borderId="19" xfId="1" applyNumberFormat="1" applyFont="1" applyBorder="1" applyAlignment="1">
      <alignment vertical="center"/>
    </xf>
    <xf numFmtId="195" fontId="7" fillId="0" borderId="18" xfId="1" applyNumberFormat="1" applyFont="1" applyBorder="1" applyAlignment="1">
      <alignment vertical="center"/>
    </xf>
    <xf numFmtId="195" fontId="7" fillId="0" borderId="19" xfId="1" applyNumberFormat="1" applyFont="1" applyBorder="1" applyAlignment="1">
      <alignment horizontal="right" vertical="center"/>
    </xf>
    <xf numFmtId="195" fontId="7" fillId="0" borderId="20" xfId="1" applyNumberFormat="1" applyFont="1" applyBorder="1" applyAlignment="1">
      <alignment horizontal="right" vertical="center"/>
    </xf>
    <xf numFmtId="195" fontId="7" fillId="0" borderId="21" xfId="1" applyNumberFormat="1" applyFont="1" applyBorder="1" applyAlignment="1">
      <alignment horizontal="right" vertical="center"/>
    </xf>
    <xf numFmtId="195" fontId="7" fillId="0" borderId="21" xfId="1" applyNumberFormat="1" applyFont="1" applyBorder="1" applyAlignment="1">
      <alignment vertical="center"/>
    </xf>
    <xf numFmtId="195" fontId="7" fillId="0" borderId="11" xfId="1" applyNumberFormat="1" applyFont="1" applyBorder="1" applyAlignment="1">
      <alignment vertical="center"/>
    </xf>
    <xf numFmtId="195" fontId="7" fillId="0" borderId="12" xfId="1" applyNumberFormat="1" applyFont="1" applyBorder="1" applyAlignment="1">
      <alignment horizontal="right" vertical="center"/>
    </xf>
    <xf numFmtId="195" fontId="7" fillId="0" borderId="0" xfId="1" applyNumberFormat="1" applyFont="1" applyAlignment="1">
      <alignment vertical="center"/>
    </xf>
    <xf numFmtId="195" fontId="7" fillId="0" borderId="17" xfId="1" applyNumberFormat="1" applyFont="1" applyBorder="1" applyAlignment="1">
      <alignment vertical="center"/>
    </xf>
    <xf numFmtId="0" fontId="7" fillId="0" borderId="6" xfId="1" applyFont="1" applyBorder="1" applyAlignment="1">
      <alignment horizontal="center" vertical="center" wrapText="1"/>
    </xf>
    <xf numFmtId="195" fontId="7" fillId="0" borderId="20" xfId="1" applyNumberFormat="1" applyFont="1" applyBorder="1" applyAlignment="1">
      <alignment vertical="center"/>
    </xf>
    <xf numFmtId="195" fontId="7" fillId="0" borderId="12" xfId="1" applyNumberFormat="1" applyFont="1" applyBorder="1" applyAlignment="1">
      <alignment vertical="center"/>
    </xf>
    <xf numFmtId="0" fontId="2" fillId="0" borderId="0" xfId="12">
      <alignment vertical="center"/>
    </xf>
    <xf numFmtId="179" fontId="20" fillId="0" borderId="19" xfId="12" applyNumberFormat="1" applyFont="1" applyBorder="1" applyAlignment="1">
      <alignment horizontal="right" vertical="center"/>
    </xf>
    <xf numFmtId="179" fontId="20" fillId="0" borderId="19" xfId="12" applyNumberFormat="1" applyFont="1" applyBorder="1">
      <alignment vertical="center"/>
    </xf>
    <xf numFmtId="0" fontId="42" fillId="0" borderId="0" xfId="12" applyFont="1">
      <alignment vertical="center"/>
    </xf>
    <xf numFmtId="0" fontId="17" fillId="0" borderId="0" xfId="12" applyFont="1">
      <alignment vertical="center"/>
    </xf>
    <xf numFmtId="38" fontId="30" fillId="0" borderId="0" xfId="13" applyFont="1">
      <alignment vertical="center"/>
    </xf>
    <xf numFmtId="0" fontId="20" fillId="0" borderId="5" xfId="12" applyFont="1" applyBorder="1" applyAlignment="1">
      <alignment horizontal="center" vertical="center"/>
    </xf>
    <xf numFmtId="0" fontId="20" fillId="0" borderId="28" xfId="12" applyFont="1" applyBorder="1" applyAlignment="1">
      <alignment horizontal="center" vertical="center"/>
    </xf>
    <xf numFmtId="0" fontId="20" fillId="0" borderId="28" xfId="12" applyFont="1" applyBorder="1" applyAlignment="1">
      <alignment horizontal="right" vertical="center"/>
    </xf>
    <xf numFmtId="0" fontId="20" fillId="0" borderId="19" xfId="12" applyFont="1" applyBorder="1" applyAlignment="1">
      <alignment horizontal="center" vertical="center"/>
    </xf>
    <xf numFmtId="0" fontId="20" fillId="0" borderId="31" xfId="12" applyFont="1" applyBorder="1" applyAlignment="1">
      <alignment horizontal="center" vertical="center"/>
    </xf>
    <xf numFmtId="49" fontId="20" fillId="0" borderId="32" xfId="12" applyNumberFormat="1" applyFont="1" applyBorder="1">
      <alignment vertical="center"/>
    </xf>
    <xf numFmtId="0" fontId="20" fillId="0" borderId="0" xfId="12" applyFont="1">
      <alignment vertical="center"/>
    </xf>
    <xf numFmtId="0" fontId="20" fillId="0" borderId="0" xfId="12" applyFont="1" applyAlignment="1">
      <alignment horizontal="right" vertical="center"/>
    </xf>
    <xf numFmtId="0" fontId="20" fillId="0" borderId="28" xfId="12" applyFont="1" applyBorder="1" applyAlignment="1">
      <alignment horizontal="center" vertical="center" shrinkToFit="1"/>
    </xf>
    <xf numFmtId="0" fontId="3" fillId="0" borderId="0" xfId="12" applyFont="1">
      <alignment vertical="center"/>
    </xf>
    <xf numFmtId="0" fontId="6" fillId="0" borderId="0" xfId="12" applyFont="1">
      <alignment vertical="center"/>
    </xf>
    <xf numFmtId="0" fontId="7" fillId="0" borderId="0" xfId="12" applyFont="1" applyAlignment="1">
      <alignment horizontal="center" vertical="center"/>
    </xf>
    <xf numFmtId="0" fontId="33" fillId="0" borderId="0" xfId="12" applyFont="1">
      <alignment vertical="center"/>
    </xf>
    <xf numFmtId="0" fontId="7" fillId="0" borderId="5" xfId="12" applyFont="1" applyBorder="1" applyAlignment="1">
      <alignment horizontal="center" vertical="center"/>
    </xf>
    <xf numFmtId="0" fontId="7" fillId="0" borderId="6" xfId="12" applyFont="1" applyBorder="1" applyAlignment="1">
      <alignment horizontal="center" vertical="center"/>
    </xf>
    <xf numFmtId="0" fontId="7" fillId="0" borderId="27" xfId="12" applyFont="1" applyBorder="1" applyAlignment="1">
      <alignment horizontal="center" vertical="center"/>
    </xf>
    <xf numFmtId="0" fontId="7" fillId="0" borderId="28" xfId="12" applyFont="1" applyBorder="1" applyAlignment="1">
      <alignment horizontal="right" vertical="center"/>
    </xf>
    <xf numFmtId="0" fontId="7" fillId="0" borderId="26" xfId="12" applyFont="1" applyBorder="1" applyAlignment="1">
      <alignment horizontal="right" vertical="center"/>
    </xf>
    <xf numFmtId="0" fontId="7" fillId="0" borderId="0" xfId="12" applyFont="1" applyAlignment="1">
      <alignment horizontal="right" vertical="center"/>
    </xf>
    <xf numFmtId="0" fontId="7" fillId="0" borderId="18" xfId="12" applyFont="1" applyBorder="1" applyAlignment="1">
      <alignment horizontal="center" vertical="center"/>
    </xf>
    <xf numFmtId="205" fontId="7" fillId="0" borderId="19" xfId="12" applyNumberFormat="1" applyFont="1" applyBorder="1" applyAlignment="1">
      <alignment horizontal="center" vertical="center"/>
    </xf>
    <xf numFmtId="205" fontId="7" fillId="0" borderId="20" xfId="12" applyNumberFormat="1" applyFont="1" applyBorder="1" applyAlignment="1">
      <alignment horizontal="center" vertical="center"/>
    </xf>
    <xf numFmtId="195" fontId="7" fillId="0" borderId="0" xfId="12" applyNumberFormat="1" applyFont="1">
      <alignment vertical="center"/>
    </xf>
    <xf numFmtId="0" fontId="7" fillId="0" borderId="11" xfId="12" applyFont="1" applyBorder="1" applyAlignment="1">
      <alignment horizontal="center" vertical="center"/>
    </xf>
    <xf numFmtId="205" fontId="7" fillId="0" borderId="21" xfId="12" applyNumberFormat="1" applyFont="1" applyBorder="1" applyAlignment="1">
      <alignment horizontal="center" vertical="center"/>
    </xf>
    <xf numFmtId="205" fontId="7" fillId="0" borderId="12" xfId="12" applyNumberFormat="1" applyFont="1" applyBorder="1" applyAlignment="1">
      <alignment horizontal="center" vertical="center"/>
    </xf>
    <xf numFmtId="49" fontId="7" fillId="0" borderId="17" xfId="12" applyNumberFormat="1" applyFont="1" applyBorder="1">
      <alignment vertical="center"/>
    </xf>
    <xf numFmtId="0" fontId="7" fillId="0" borderId="17" xfId="12" applyFont="1" applyBorder="1">
      <alignment vertical="center"/>
    </xf>
    <xf numFmtId="0" fontId="7" fillId="0" borderId="0" xfId="12" applyFont="1">
      <alignment vertical="center"/>
    </xf>
    <xf numFmtId="0" fontId="7" fillId="0" borderId="0" xfId="12" applyFont="1" applyAlignment="1">
      <alignment horizontal="left" vertical="center"/>
    </xf>
    <xf numFmtId="38" fontId="16" fillId="0" borderId="0" xfId="2" applyFont="1" applyAlignment="1">
      <alignment vertical="center"/>
    </xf>
    <xf numFmtId="38" fontId="11" fillId="0" borderId="0" xfId="2" applyFont="1" applyAlignment="1">
      <alignment vertical="center"/>
    </xf>
    <xf numFmtId="38" fontId="11" fillId="0" borderId="0" xfId="2" applyFont="1" applyAlignment="1">
      <alignment horizontal="center" vertical="center" wrapText="1"/>
    </xf>
    <xf numFmtId="38" fontId="11" fillId="0" borderId="4" xfId="2" applyFont="1" applyBorder="1" applyAlignment="1">
      <alignment horizontal="center" vertical="center" wrapText="1"/>
    </xf>
    <xf numFmtId="38" fontId="11" fillId="0" borderId="5" xfId="2" applyFont="1" applyBorder="1" applyAlignment="1">
      <alignment horizontal="center" vertical="center" wrapText="1"/>
    </xf>
    <xf numFmtId="38" fontId="43" fillId="0" borderId="5" xfId="2" applyFont="1" applyBorder="1" applyAlignment="1">
      <alignment horizontal="center" vertical="center" wrapText="1"/>
    </xf>
    <xf numFmtId="38" fontId="43" fillId="0" borderId="6" xfId="2" applyFont="1" applyBorder="1" applyAlignment="1">
      <alignment horizontal="center" vertical="center" wrapText="1"/>
    </xf>
    <xf numFmtId="38" fontId="11" fillId="0" borderId="18" xfId="2" applyFont="1" applyBorder="1" applyAlignment="1">
      <alignment horizontal="center" vertical="center" wrapText="1"/>
    </xf>
    <xf numFmtId="38" fontId="11" fillId="0" borderId="19" xfId="2" applyFont="1" applyBorder="1" applyAlignment="1">
      <alignment horizontal="right" vertical="center" wrapText="1"/>
    </xf>
    <xf numFmtId="38" fontId="11" fillId="0" borderId="19" xfId="2" applyFont="1" applyBorder="1" applyAlignment="1" applyProtection="1">
      <alignment horizontal="right" vertical="center" wrapText="1"/>
      <protection locked="0"/>
    </xf>
    <xf numFmtId="38" fontId="11" fillId="0" borderId="28" xfId="2" applyFont="1" applyBorder="1" applyAlignment="1">
      <alignment horizontal="center" vertical="center" wrapText="1"/>
    </xf>
    <xf numFmtId="38" fontId="11" fillId="0" borderId="19" xfId="2" applyFont="1" applyBorder="1" applyAlignment="1" applyProtection="1">
      <alignment horizontal="center" vertical="center" wrapText="1"/>
      <protection locked="0"/>
    </xf>
    <xf numFmtId="38" fontId="43" fillId="0" borderId="19" xfId="2" applyFont="1" applyBorder="1" applyAlignment="1" applyProtection="1">
      <alignment horizontal="right" vertical="center" wrapText="1"/>
      <protection locked="0"/>
    </xf>
    <xf numFmtId="38" fontId="43" fillId="0" borderId="20" xfId="2" applyFont="1" applyBorder="1" applyAlignment="1" applyProtection="1">
      <alignment horizontal="right" vertical="center" wrapText="1"/>
      <protection locked="0"/>
    </xf>
    <xf numFmtId="179" fontId="11" fillId="0" borderId="18" xfId="2" applyNumberFormat="1" applyFont="1" applyBorder="1" applyAlignment="1">
      <alignment vertical="center"/>
    </xf>
    <xf numFmtId="179" fontId="11" fillId="0" borderId="19" xfId="2" applyNumberFormat="1" applyFont="1" applyBorder="1" applyAlignment="1">
      <alignment vertical="center"/>
    </xf>
    <xf numFmtId="179" fontId="11" fillId="0" borderId="19" xfId="2" applyNumberFormat="1" applyFont="1" applyBorder="1" applyAlignment="1" applyProtection="1">
      <alignment vertical="center"/>
      <protection locked="0"/>
    </xf>
    <xf numFmtId="179" fontId="11" fillId="0" borderId="20" xfId="2" applyNumberFormat="1" applyFont="1" applyBorder="1" applyAlignment="1" applyProtection="1">
      <alignment vertical="center"/>
      <protection locked="0"/>
    </xf>
    <xf numFmtId="179" fontId="11" fillId="0" borderId="20" xfId="2" applyNumberFormat="1" applyFont="1" applyBorder="1" applyAlignment="1">
      <alignment vertical="center"/>
    </xf>
    <xf numFmtId="38" fontId="11" fillId="0" borderId="18" xfId="2" applyFont="1" applyBorder="1" applyAlignment="1">
      <alignment horizontal="center" vertical="center"/>
    </xf>
    <xf numFmtId="179" fontId="11" fillId="0" borderId="18" xfId="2" applyNumberFormat="1" applyFont="1" applyBorder="1" applyAlignment="1">
      <alignment horizontal="right" vertical="center" wrapText="1"/>
    </xf>
    <xf numFmtId="179" fontId="11" fillId="0" borderId="19" xfId="2" applyNumberFormat="1" applyFont="1" applyBorder="1" applyAlignment="1">
      <alignment horizontal="right" vertical="center"/>
    </xf>
    <xf numFmtId="38" fontId="11" fillId="0" borderId="11" xfId="2" applyFont="1" applyBorder="1" applyAlignment="1">
      <alignment horizontal="center" vertical="center"/>
    </xf>
    <xf numFmtId="179" fontId="11" fillId="0" borderId="21" xfId="2" applyNumberFormat="1" applyFont="1" applyBorder="1" applyAlignment="1">
      <alignment vertical="center"/>
    </xf>
    <xf numFmtId="179" fontId="11" fillId="0" borderId="21" xfId="2" applyNumberFormat="1" applyFont="1" applyBorder="1" applyAlignment="1">
      <alignment horizontal="right" vertical="center" wrapText="1"/>
    </xf>
    <xf numFmtId="179" fontId="11" fillId="0" borderId="21" xfId="2" applyNumberFormat="1" applyFont="1" applyBorder="1" applyAlignment="1">
      <alignment horizontal="right" vertical="center"/>
    </xf>
    <xf numFmtId="179" fontId="11" fillId="0" borderId="12" xfId="2" applyNumberFormat="1" applyFont="1" applyBorder="1" applyAlignment="1">
      <alignment vertical="center"/>
    </xf>
    <xf numFmtId="210" fontId="11" fillId="0" borderId="0" xfId="2" applyNumberFormat="1" applyFont="1" applyAlignment="1">
      <alignment vertical="center"/>
    </xf>
    <xf numFmtId="38" fontId="11" fillId="0" borderId="0" xfId="2" applyFont="1" applyAlignment="1">
      <alignment horizontal="center" vertical="center"/>
    </xf>
    <xf numFmtId="38" fontId="11" fillId="0" borderId="20" xfId="2" applyFont="1" applyBorder="1" applyAlignment="1">
      <alignment horizontal="center" vertical="center"/>
    </xf>
    <xf numFmtId="38" fontId="11" fillId="0" borderId="20" xfId="2" applyFont="1" applyBorder="1" applyAlignment="1">
      <alignment horizontal="right" vertical="center"/>
    </xf>
    <xf numFmtId="190" fontId="11" fillId="0" borderId="19" xfId="2" applyNumberFormat="1" applyFont="1" applyBorder="1" applyAlignment="1">
      <alignment horizontal="right" vertical="center"/>
    </xf>
    <xf numFmtId="38" fontId="11" fillId="0" borderId="0" xfId="2" applyFont="1" applyBorder="1" applyAlignment="1">
      <alignment horizontal="right" vertical="center"/>
    </xf>
    <xf numFmtId="179" fontId="11" fillId="0" borderId="20" xfId="2" applyNumberFormat="1" applyFont="1" applyBorder="1" applyAlignment="1">
      <alignment horizontal="center" vertical="center"/>
    </xf>
    <xf numFmtId="179" fontId="11" fillId="0" borderId="19" xfId="2" applyNumberFormat="1" applyFont="1" applyBorder="1" applyAlignment="1">
      <alignment horizontal="center" vertical="center"/>
    </xf>
    <xf numFmtId="179" fontId="11" fillId="0" borderId="0" xfId="2" applyNumberFormat="1" applyFont="1" applyBorder="1" applyAlignment="1">
      <alignment horizontal="center" vertical="center"/>
    </xf>
    <xf numFmtId="179" fontId="11" fillId="0" borderId="12" xfId="2" applyNumberFormat="1" applyFont="1" applyBorder="1" applyAlignment="1">
      <alignment horizontal="center" vertical="center"/>
    </xf>
    <xf numFmtId="179" fontId="11" fillId="0" borderId="21" xfId="2" applyNumberFormat="1" applyFont="1" applyBorder="1" applyAlignment="1">
      <alignment horizontal="center" vertical="center"/>
    </xf>
    <xf numFmtId="179" fontId="11" fillId="0" borderId="10" xfId="2" applyNumberFormat="1" applyFont="1" applyBorder="1" applyAlignment="1">
      <alignment horizontal="center" vertical="center"/>
    </xf>
    <xf numFmtId="179" fontId="15" fillId="0" borderId="21" xfId="1" applyNumberFormat="1" applyFont="1" applyBorder="1" applyAlignment="1">
      <alignment vertical="center"/>
    </xf>
    <xf numFmtId="179" fontId="7" fillId="0" borderId="12" xfId="1" applyNumberFormat="1" applyFont="1" applyBorder="1" applyAlignment="1">
      <alignment horizontal="right" vertical="center"/>
    </xf>
    <xf numFmtId="179" fontId="7" fillId="0" borderId="21" xfId="1" applyNumberFormat="1" applyFont="1" applyBorder="1" applyAlignment="1">
      <alignment vertical="center"/>
    </xf>
    <xf numFmtId="192" fontId="7" fillId="0" borderId="19" xfId="1" applyNumberFormat="1" applyFont="1" applyBorder="1" applyAlignment="1">
      <alignment horizontal="center" vertical="center"/>
    </xf>
    <xf numFmtId="192" fontId="7" fillId="0" borderId="21" xfId="1" applyNumberFormat="1" applyFont="1" applyBorder="1" applyAlignment="1">
      <alignment horizontal="center" vertical="center"/>
    </xf>
    <xf numFmtId="195" fontId="15" fillId="0" borderId="20" xfId="1" applyNumberFormat="1" applyFont="1" applyBorder="1" applyAlignment="1">
      <alignment vertical="center"/>
    </xf>
    <xf numFmtId="211" fontId="15" fillId="0" borderId="20" xfId="1" applyNumberFormat="1" applyFont="1" applyBorder="1" applyAlignment="1">
      <alignment vertical="center"/>
    </xf>
    <xf numFmtId="195" fontId="15" fillId="0" borderId="19" xfId="1" applyNumberFormat="1" applyFont="1" applyBorder="1" applyAlignment="1">
      <alignment vertical="center"/>
    </xf>
    <xf numFmtId="194" fontId="15" fillId="0" borderId="19" xfId="1" applyNumberFormat="1" applyFont="1" applyBorder="1" applyAlignment="1">
      <alignment horizontal="right" vertical="center"/>
    </xf>
    <xf numFmtId="195" fontId="15" fillId="0" borderId="12" xfId="1" applyNumberFormat="1" applyFont="1" applyBorder="1" applyAlignment="1">
      <alignment vertical="center"/>
    </xf>
    <xf numFmtId="211" fontId="15" fillId="0" borderId="12" xfId="1" applyNumberFormat="1" applyFont="1" applyBorder="1" applyAlignment="1">
      <alignment vertical="center"/>
    </xf>
    <xf numFmtId="195" fontId="15" fillId="0" borderId="21" xfId="1" applyNumberFormat="1" applyFont="1" applyBorder="1" applyAlignment="1">
      <alignment vertical="center"/>
    </xf>
    <xf numFmtId="179" fontId="15" fillId="0" borderId="21" xfId="1" applyNumberFormat="1" applyFont="1" applyBorder="1" applyAlignment="1">
      <alignment horizontal="right" vertical="center"/>
    </xf>
    <xf numFmtId="0" fontId="44" fillId="0" borderId="0" xfId="1" applyFont="1" applyAlignment="1">
      <alignment vertical="center"/>
    </xf>
    <xf numFmtId="210" fontId="7" fillId="0" borderId="20" xfId="2" applyNumberFormat="1" applyFont="1" applyBorder="1" applyAlignment="1">
      <alignment horizontal="right" vertical="center"/>
    </xf>
    <xf numFmtId="212" fontId="7" fillId="0" borderId="20" xfId="1" applyNumberFormat="1" applyFont="1" applyBorder="1" applyAlignment="1">
      <alignment horizontal="right" vertical="center"/>
    </xf>
    <xf numFmtId="210" fontId="7" fillId="0" borderId="20" xfId="2" applyNumberFormat="1" applyFont="1" applyBorder="1" applyAlignment="1">
      <alignment vertical="center"/>
    </xf>
    <xf numFmtId="213" fontId="7" fillId="0" borderId="20" xfId="1" applyNumberFormat="1" applyFont="1" applyBorder="1" applyAlignment="1">
      <alignment vertical="center"/>
    </xf>
    <xf numFmtId="210" fontId="7" fillId="0" borderId="19" xfId="2" applyNumberFormat="1" applyFont="1" applyBorder="1" applyAlignment="1">
      <alignment vertical="center"/>
    </xf>
    <xf numFmtId="210" fontId="7" fillId="2" borderId="19" xfId="2" applyNumberFormat="1" applyFont="1" applyFill="1" applyBorder="1" applyAlignment="1">
      <alignment vertical="center"/>
    </xf>
    <xf numFmtId="213" fontId="7" fillId="2" borderId="20" xfId="1" applyNumberFormat="1" applyFont="1" applyFill="1" applyBorder="1" applyAlignment="1">
      <alignment vertical="center"/>
    </xf>
    <xf numFmtId="210" fontId="7" fillId="2" borderId="21" xfId="2" applyNumberFormat="1" applyFont="1" applyFill="1" applyBorder="1" applyAlignment="1">
      <alignment vertical="center"/>
    </xf>
    <xf numFmtId="213" fontId="7" fillId="2" borderId="12" xfId="1" applyNumberFormat="1" applyFont="1" applyFill="1" applyBorder="1" applyAlignment="1">
      <alignment vertical="center"/>
    </xf>
    <xf numFmtId="0" fontId="7" fillId="0" borderId="24" xfId="1" applyFont="1" applyBorder="1" applyAlignment="1">
      <alignment horizontal="center" vertical="center" shrinkToFit="1"/>
    </xf>
    <xf numFmtId="214" fontId="7" fillId="0" borderId="20" xfId="1" applyNumberFormat="1" applyFont="1" applyBorder="1" applyAlignment="1">
      <alignment horizontal="right" vertical="center"/>
    </xf>
    <xf numFmtId="214" fontId="34" fillId="0" borderId="12" xfId="1" applyNumberFormat="1" applyFont="1" applyBorder="1" applyAlignment="1">
      <alignment horizontal="right" vertical="center"/>
    </xf>
    <xf numFmtId="177" fontId="9" fillId="0" borderId="20" xfId="4" applyNumberFormat="1" applyFont="1" applyFill="1" applyBorder="1" applyAlignment="1">
      <alignment horizontal="right" vertical="center"/>
    </xf>
    <xf numFmtId="177" fontId="9" fillId="0" borderId="0" xfId="4" applyNumberFormat="1" applyFont="1" applyFill="1" applyBorder="1" applyAlignment="1">
      <alignment horizontal="right" vertical="center"/>
    </xf>
    <xf numFmtId="194" fontId="9" fillId="0" borderId="20" xfId="4" applyNumberFormat="1" applyFont="1" applyFill="1" applyBorder="1" applyAlignment="1">
      <alignment horizontal="center" vertical="center"/>
    </xf>
    <xf numFmtId="179" fontId="9" fillId="0" borderId="20" xfId="4" applyNumberFormat="1" applyFont="1" applyFill="1" applyBorder="1" applyAlignment="1">
      <alignment horizontal="center" vertical="center"/>
    </xf>
    <xf numFmtId="194" fontId="9" fillId="0" borderId="19" xfId="4"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7" fontId="9" fillId="0" borderId="20" xfId="4" applyNumberFormat="1" applyFont="1" applyFill="1" applyBorder="1" applyAlignment="1">
      <alignment horizontal="center" vertical="center"/>
    </xf>
    <xf numFmtId="177" fontId="9" fillId="0" borderId="0" xfId="4" applyNumberFormat="1" applyFont="1" applyFill="1" applyBorder="1" applyAlignment="1">
      <alignment horizontal="center" vertical="center"/>
    </xf>
    <xf numFmtId="179" fontId="9" fillId="0" borderId="20" xfId="4" applyNumberFormat="1" applyFont="1" applyFill="1" applyBorder="1" applyAlignment="1">
      <alignment horizontal="right" vertical="center"/>
    </xf>
    <xf numFmtId="179" fontId="9" fillId="0" borderId="19" xfId="4" applyNumberFormat="1" applyFont="1" applyFill="1" applyBorder="1" applyAlignment="1">
      <alignment horizontal="right" vertical="center"/>
    </xf>
    <xf numFmtId="179" fontId="9" fillId="0" borderId="19" xfId="4" applyNumberFormat="1" applyFont="1" applyFill="1" applyBorder="1" applyAlignment="1">
      <alignment horizontal="center" vertical="center"/>
    </xf>
    <xf numFmtId="179" fontId="9" fillId="0" borderId="26" xfId="4" applyNumberFormat="1" applyFont="1" applyFill="1" applyBorder="1" applyAlignment="1">
      <alignment horizontal="right" vertical="center"/>
    </xf>
    <xf numFmtId="177" fontId="9" fillId="0" borderId="26" xfId="4" applyNumberFormat="1" applyFont="1" applyFill="1" applyBorder="1" applyAlignment="1">
      <alignment horizontal="right" vertical="center"/>
    </xf>
    <xf numFmtId="177" fontId="9" fillId="0" borderId="12" xfId="4" applyNumberFormat="1" applyFont="1" applyFill="1" applyBorder="1" applyAlignment="1">
      <alignment horizontal="right" vertical="center"/>
    </xf>
    <xf numFmtId="216" fontId="7" fillId="0" borderId="19" xfId="1" applyNumberFormat="1" applyFont="1" applyBorder="1" applyAlignment="1">
      <alignment horizontal="right" vertical="center"/>
    </xf>
    <xf numFmtId="216" fontId="7" fillId="0" borderId="19" xfId="1" applyNumberFormat="1" applyFont="1" applyBorder="1" applyAlignment="1">
      <alignment vertical="center"/>
    </xf>
    <xf numFmtId="211" fontId="7" fillId="0" borderId="20" xfId="1" applyNumberFormat="1" applyFont="1" applyBorder="1" applyAlignment="1">
      <alignment vertical="center"/>
    </xf>
    <xf numFmtId="212" fontId="7" fillId="0" borderId="20" xfId="1" applyNumberFormat="1" applyFont="1" applyBorder="1" applyAlignment="1">
      <alignment vertical="center"/>
    </xf>
    <xf numFmtId="211" fontId="7" fillId="0" borderId="21" xfId="1" applyNumberFormat="1" applyFont="1" applyBorder="1" applyAlignment="1">
      <alignment vertical="center"/>
    </xf>
    <xf numFmtId="195" fontId="7" fillId="0" borderId="19" xfId="1" applyNumberFormat="1" applyFont="1" applyBorder="1" applyAlignment="1">
      <alignment horizontal="center" vertical="center"/>
    </xf>
    <xf numFmtId="195" fontId="7" fillId="0" borderId="20" xfId="1" applyNumberFormat="1" applyFont="1" applyBorder="1" applyAlignment="1">
      <alignment horizontal="center" vertical="center"/>
    </xf>
    <xf numFmtId="179" fontId="7" fillId="0" borderId="19" xfId="1" applyNumberFormat="1" applyFont="1" applyBorder="1" applyAlignment="1">
      <alignment horizontal="center" vertical="center"/>
    </xf>
    <xf numFmtId="179" fontId="7" fillId="0" borderId="20" xfId="1" applyNumberFormat="1" applyFont="1" applyBorder="1" applyAlignment="1">
      <alignment horizontal="center" vertical="center"/>
    </xf>
    <xf numFmtId="179" fontId="7" fillId="0" borderId="21" xfId="1" applyNumberFormat="1" applyFont="1" applyBorder="1" applyAlignment="1">
      <alignment horizontal="center" vertical="center"/>
    </xf>
    <xf numFmtId="179" fontId="7" fillId="0" borderId="12" xfId="1" applyNumberFormat="1" applyFont="1" applyBorder="1" applyAlignment="1">
      <alignment horizontal="center" vertical="center"/>
    </xf>
    <xf numFmtId="179" fontId="7" fillId="0" borderId="10" xfId="1" applyNumberFormat="1" applyFont="1" applyBorder="1" applyAlignment="1">
      <alignment vertical="center"/>
    </xf>
    <xf numFmtId="0" fontId="7" fillId="0" borderId="2" xfId="1" applyFont="1" applyBorder="1" applyAlignment="1">
      <alignment vertical="center" textRotation="255"/>
    </xf>
    <xf numFmtId="0" fontId="7" fillId="0" borderId="2" xfId="1" applyFont="1" applyBorder="1" applyAlignment="1">
      <alignment horizontal="center" vertical="center" textRotation="255"/>
    </xf>
    <xf numFmtId="0" fontId="7" fillId="0" borderId="3" xfId="1" applyFont="1" applyBorder="1" applyAlignment="1">
      <alignment vertical="center" textRotation="255"/>
    </xf>
    <xf numFmtId="0" fontId="7" fillId="0" borderId="28" xfId="1" applyFont="1" applyBorder="1" applyAlignment="1">
      <alignment horizontal="right" vertical="center" textRotation="255"/>
    </xf>
    <xf numFmtId="0" fontId="7" fillId="0" borderId="26" xfId="1" applyFont="1" applyBorder="1" applyAlignment="1">
      <alignment horizontal="right" vertical="center" textRotation="255"/>
    </xf>
    <xf numFmtId="194" fontId="7" fillId="0" borderId="19" xfId="1" applyNumberFormat="1" applyFont="1" applyBorder="1" applyAlignment="1">
      <alignment horizontal="right" vertical="center"/>
    </xf>
    <xf numFmtId="194" fontId="7" fillId="0" borderId="20" xfId="1" applyNumberFormat="1" applyFont="1" applyBorder="1" applyAlignment="1">
      <alignment horizontal="right" vertical="center"/>
    </xf>
    <xf numFmtId="194" fontId="7" fillId="0" borderId="21" xfId="1" applyNumberFormat="1" applyFont="1" applyBorder="1" applyAlignment="1">
      <alignment horizontal="right" vertical="center"/>
    </xf>
    <xf numFmtId="194" fontId="7" fillId="0" borderId="12" xfId="1" applyNumberFormat="1" applyFont="1" applyBorder="1" applyAlignment="1">
      <alignment horizontal="right" vertical="center"/>
    </xf>
    <xf numFmtId="58" fontId="7" fillId="0" borderId="11" xfId="1" applyNumberFormat="1" applyFont="1" applyBorder="1" applyAlignment="1">
      <alignment horizontal="center" vertical="center"/>
    </xf>
    <xf numFmtId="0" fontId="45" fillId="0" borderId="0" xfId="1" applyFont="1" applyAlignment="1">
      <alignment horizontal="right"/>
    </xf>
    <xf numFmtId="213" fontId="7" fillId="0" borderId="18" xfId="1" applyNumberFormat="1" applyFont="1" applyBorder="1" applyAlignment="1">
      <alignment horizontal="left" vertical="center"/>
    </xf>
    <xf numFmtId="58" fontId="7" fillId="0" borderId="19" xfId="1" applyNumberFormat="1" applyFont="1" applyBorder="1" applyAlignment="1">
      <alignment horizontal="center" vertical="center"/>
    </xf>
    <xf numFmtId="217" fontId="7" fillId="0" borderId="20" xfId="1" applyNumberFormat="1" applyFont="1" applyBorder="1" applyAlignment="1">
      <alignment horizontal="center" vertical="center"/>
    </xf>
    <xf numFmtId="213" fontId="7" fillId="0" borderId="26" xfId="1" applyNumberFormat="1" applyFont="1" applyBorder="1" applyAlignment="1">
      <alignment vertical="center"/>
    </xf>
    <xf numFmtId="213" fontId="7" fillId="0" borderId="27" xfId="1" applyNumberFormat="1" applyFont="1" applyBorder="1" applyAlignment="1">
      <alignment horizontal="left" vertical="center"/>
    </xf>
    <xf numFmtId="217" fontId="7" fillId="0" borderId="26" xfId="1" applyNumberFormat="1" applyFont="1" applyBorder="1" applyAlignment="1">
      <alignment horizontal="center" vertical="center"/>
    </xf>
    <xf numFmtId="0" fontId="7" fillId="0" borderId="11" xfId="1" applyFont="1" applyBorder="1" applyAlignment="1">
      <alignment horizontal="center" vertical="center"/>
    </xf>
    <xf numFmtId="213" fontId="7" fillId="0" borderId="12" xfId="1" applyNumberFormat="1" applyFont="1" applyBorder="1" applyAlignment="1">
      <alignment vertical="center"/>
    </xf>
    <xf numFmtId="213" fontId="7" fillId="0" borderId="11" xfId="1" applyNumberFormat="1" applyFont="1" applyBorder="1" applyAlignment="1">
      <alignment horizontal="left" vertical="center"/>
    </xf>
    <xf numFmtId="217" fontId="7" fillId="0" borderId="12" xfId="1" applyNumberFormat="1" applyFont="1" applyBorder="1" applyAlignment="1">
      <alignment horizontal="center" vertical="center"/>
    </xf>
    <xf numFmtId="0" fontId="9" fillId="0" borderId="0" xfId="1" applyFont="1" applyAlignment="1">
      <alignment horizontal="right" vertical="center"/>
    </xf>
    <xf numFmtId="0" fontId="9" fillId="0" borderId="1" xfId="1" applyFont="1" applyBorder="1" applyAlignment="1">
      <alignment vertical="center"/>
    </xf>
    <xf numFmtId="0" fontId="9" fillId="0" borderId="2" xfId="1" applyFont="1" applyBorder="1" applyAlignment="1">
      <alignment horizontal="center" vertical="center"/>
    </xf>
    <xf numFmtId="0" fontId="9" fillId="0" borderId="17"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6" xfId="1" applyFont="1" applyBorder="1" applyAlignment="1">
      <alignment horizontal="center" vertical="center"/>
    </xf>
    <xf numFmtId="0" fontId="9" fillId="0" borderId="5" xfId="1" applyFont="1" applyBorder="1" applyAlignment="1">
      <alignment horizontal="center" vertical="center"/>
    </xf>
    <xf numFmtId="0" fontId="9" fillId="0" borderId="29"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179" fontId="9" fillId="0" borderId="5" xfId="1" applyNumberFormat="1" applyFont="1" applyBorder="1" applyAlignment="1">
      <alignment horizontal="center" vertical="center"/>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6" xfId="1" applyFont="1" applyBorder="1" applyAlignment="1">
      <alignment horizontal="right" vertical="center" wrapText="1"/>
    </xf>
    <xf numFmtId="192" fontId="7" fillId="0" borderId="20" xfId="2" applyNumberFormat="1" applyFont="1" applyBorder="1" applyAlignment="1">
      <alignment horizontal="center" vertical="center"/>
    </xf>
    <xf numFmtId="190" fontId="7" fillId="0" borderId="20" xfId="2" applyNumberFormat="1" applyFont="1" applyBorder="1" applyAlignment="1">
      <alignment horizontal="center" vertical="center"/>
    </xf>
    <xf numFmtId="20" fontId="7" fillId="0" borderId="0" xfId="1" applyNumberFormat="1" applyFont="1" applyAlignment="1">
      <alignment vertical="center"/>
    </xf>
    <xf numFmtId="38" fontId="7" fillId="2" borderId="20" xfId="2" applyFont="1" applyFill="1" applyBorder="1" applyAlignment="1">
      <alignment horizontal="center" vertical="center"/>
    </xf>
    <xf numFmtId="192" fontId="7" fillId="2" borderId="20" xfId="2" applyNumberFormat="1" applyFont="1" applyFill="1" applyBorder="1" applyAlignment="1">
      <alignment horizontal="center" vertical="center"/>
    </xf>
    <xf numFmtId="190" fontId="7" fillId="2" borderId="20" xfId="2" applyNumberFormat="1" applyFont="1" applyFill="1" applyBorder="1" applyAlignment="1">
      <alignment horizontal="center" vertical="center"/>
    </xf>
    <xf numFmtId="218" fontId="7" fillId="0" borderId="19" xfId="2" applyNumberFormat="1" applyFont="1" applyBorder="1" applyAlignment="1">
      <alignment horizontal="center"/>
    </xf>
    <xf numFmtId="218" fontId="7" fillId="0" borderId="20" xfId="1" applyNumberFormat="1" applyFont="1" applyBorder="1" applyAlignment="1">
      <alignment horizontal="center" vertical="center"/>
    </xf>
    <xf numFmtId="218" fontId="7" fillId="0" borderId="19" xfId="2" applyNumberFormat="1" applyFont="1" applyFill="1" applyBorder="1" applyAlignment="1">
      <alignment horizontal="center"/>
    </xf>
    <xf numFmtId="218" fontId="7" fillId="0" borderId="21" xfId="2" applyNumberFormat="1" applyFont="1" applyFill="1" applyBorder="1" applyAlignment="1">
      <alignment horizontal="center"/>
    </xf>
    <xf numFmtId="218" fontId="7" fillId="0" borderId="12" xfId="1" applyNumberFormat="1" applyFont="1" applyBorder="1" applyAlignment="1">
      <alignment horizontal="center" vertical="center"/>
    </xf>
    <xf numFmtId="180" fontId="7" fillId="0" borderId="19" xfId="1" applyNumberFormat="1" applyFont="1" applyBorder="1" applyAlignment="1">
      <alignment vertical="center"/>
    </xf>
    <xf numFmtId="180" fontId="7" fillId="0" borderId="20" xfId="1" applyNumberFormat="1" applyFont="1" applyBorder="1" applyAlignment="1">
      <alignment vertical="center"/>
    </xf>
    <xf numFmtId="180" fontId="11" fillId="0" borderId="20" xfId="1" applyNumberFormat="1" applyFont="1" applyBorder="1" applyAlignment="1">
      <alignment vertical="center"/>
    </xf>
    <xf numFmtId="180" fontId="7" fillId="0" borderId="19" xfId="1" applyNumberFormat="1" applyFont="1" applyBorder="1" applyAlignment="1">
      <alignment horizontal="right" vertical="center"/>
    </xf>
    <xf numFmtId="180" fontId="7" fillId="0" borderId="73" xfId="1" applyNumberFormat="1" applyFont="1" applyBorder="1" applyAlignment="1">
      <alignment vertical="center"/>
    </xf>
    <xf numFmtId="180" fontId="7" fillId="0" borderId="55" xfId="1" applyNumberFormat="1" applyFont="1" applyBorder="1" applyAlignment="1">
      <alignment vertical="center"/>
    </xf>
    <xf numFmtId="180" fontId="7" fillId="0" borderId="5" xfId="1" applyNumberFormat="1" applyFont="1" applyBorder="1" applyAlignment="1">
      <alignment vertical="center"/>
    </xf>
    <xf numFmtId="180" fontId="7" fillId="0" borderId="6" xfId="1" applyNumberFormat="1" applyFont="1" applyBorder="1" applyAlignment="1">
      <alignment vertical="center"/>
    </xf>
    <xf numFmtId="180" fontId="7" fillId="0" borderId="8" xfId="1" applyNumberFormat="1" applyFont="1" applyBorder="1" applyAlignment="1">
      <alignment vertical="center"/>
    </xf>
    <xf numFmtId="180" fontId="7" fillId="0" borderId="9" xfId="1" applyNumberFormat="1" applyFont="1" applyBorder="1" applyAlignment="1">
      <alignment vertical="center"/>
    </xf>
    <xf numFmtId="0" fontId="7" fillId="0" borderId="1" xfId="1" applyFont="1" applyBorder="1" applyAlignment="1">
      <alignment horizontal="distributed" vertical="center" justifyLastLine="1"/>
    </xf>
    <xf numFmtId="0" fontId="7" fillId="0" borderId="3" xfId="1" applyFont="1" applyBorder="1" applyAlignment="1">
      <alignment horizontal="distributed" vertical="center" justifyLastLine="1"/>
    </xf>
    <xf numFmtId="219" fontId="7" fillId="0" borderId="26" xfId="1" applyNumberFormat="1" applyFont="1" applyBorder="1" applyAlignment="1">
      <alignment horizontal="center" vertical="center"/>
    </xf>
    <xf numFmtId="219" fontId="7" fillId="0" borderId="20" xfId="1" applyNumberFormat="1" applyFont="1" applyBorder="1" applyAlignment="1">
      <alignment horizontal="center" vertical="center"/>
    </xf>
    <xf numFmtId="219" fontId="7" fillId="0" borderId="30" xfId="1" applyNumberFormat="1" applyFont="1" applyBorder="1" applyAlignment="1">
      <alignment horizontal="center" vertical="center"/>
    </xf>
    <xf numFmtId="220" fontId="7" fillId="0" borderId="20" xfId="1" applyNumberFormat="1" applyFont="1" applyBorder="1" applyAlignment="1">
      <alignment horizontal="center" vertical="center"/>
    </xf>
    <xf numFmtId="219" fontId="7" fillId="0" borderId="6" xfId="1" applyNumberFormat="1" applyFont="1" applyBorder="1" applyAlignment="1">
      <alignment horizontal="center" vertical="center"/>
    </xf>
    <xf numFmtId="0" fontId="7" fillId="0" borderId="7" xfId="1" applyFont="1" applyBorder="1" applyAlignment="1">
      <alignment vertical="center"/>
    </xf>
    <xf numFmtId="219" fontId="7" fillId="0" borderId="9" xfId="1" applyNumberFormat="1" applyFont="1" applyBorder="1" applyAlignment="1">
      <alignment horizontal="center" vertical="center"/>
    </xf>
    <xf numFmtId="0" fontId="7" fillId="0" borderId="80" xfId="1" applyFont="1" applyBorder="1" applyAlignment="1">
      <alignment vertical="center" wrapText="1"/>
    </xf>
    <xf numFmtId="0" fontId="7" fillId="0" borderId="26" xfId="1" applyFont="1" applyBorder="1" applyAlignment="1">
      <alignment horizontal="right" vertical="center"/>
    </xf>
    <xf numFmtId="221" fontId="7" fillId="0" borderId="18" xfId="1" applyNumberFormat="1" applyFont="1" applyBorder="1" applyAlignment="1">
      <alignment horizontal="left" vertical="center"/>
    </xf>
    <xf numFmtId="221" fontId="7" fillId="0" borderId="0" xfId="1" applyNumberFormat="1" applyFont="1" applyAlignment="1">
      <alignment horizontal="left" vertical="center"/>
    </xf>
    <xf numFmtId="0" fontId="7" fillId="0" borderId="34" xfId="1" applyFont="1" applyBorder="1" applyAlignment="1">
      <alignment horizontal="distributed" vertical="center"/>
    </xf>
    <xf numFmtId="0" fontId="7" fillId="0" borderId="12" xfId="1" applyFont="1" applyBorder="1" applyAlignment="1">
      <alignment horizontal="center" vertical="center"/>
    </xf>
    <xf numFmtId="0" fontId="7" fillId="0" borderId="10" xfId="1" applyFont="1" applyBorder="1" applyAlignment="1">
      <alignment horizontal="center" vertical="center"/>
    </xf>
    <xf numFmtId="38" fontId="7" fillId="2" borderId="19" xfId="2" applyFont="1" applyFill="1" applyBorder="1" applyAlignment="1">
      <alignment horizontal="center" vertical="center"/>
    </xf>
    <xf numFmtId="188" fontId="7" fillId="0" borderId="10" xfId="1" applyNumberFormat="1" applyFont="1" applyBorder="1" applyAlignment="1">
      <alignment horizontal="center" vertical="center"/>
    </xf>
    <xf numFmtId="200" fontId="7" fillId="0" borderId="12" xfId="1" applyNumberFormat="1" applyFont="1" applyFill="1" applyBorder="1" applyAlignment="1">
      <alignment horizontal="center" vertical="center"/>
    </xf>
    <xf numFmtId="0" fontId="7" fillId="0" borderId="5" xfId="1" applyFont="1" applyBorder="1" applyAlignment="1">
      <alignment horizontal="center" vertical="center" wrapText="1" shrinkToFit="1"/>
    </xf>
    <xf numFmtId="0" fontId="7" fillId="0" borderId="5" xfId="1" applyFont="1" applyBorder="1" applyAlignment="1">
      <alignment horizontal="distributed" vertical="center" justifyLastLine="1"/>
    </xf>
    <xf numFmtId="185" fontId="7" fillId="0" borderId="28" xfId="1" applyNumberFormat="1" applyFont="1" applyBorder="1" applyAlignment="1">
      <alignment horizontal="center" vertical="center"/>
    </xf>
    <xf numFmtId="194" fontId="7" fillId="0" borderId="28" xfId="1" applyNumberFormat="1" applyFont="1" applyBorder="1" applyAlignment="1">
      <alignment horizontal="right" vertical="center"/>
    </xf>
    <xf numFmtId="194" fontId="7" fillId="0" borderId="26" xfId="1" applyNumberFormat="1" applyFont="1" applyBorder="1" applyAlignment="1">
      <alignment vertical="center"/>
    </xf>
    <xf numFmtId="185" fontId="7" fillId="0" borderId="31" xfId="1" applyNumberFormat="1" applyFont="1" applyBorder="1" applyAlignment="1">
      <alignment horizontal="center" vertical="center"/>
    </xf>
    <xf numFmtId="194" fontId="7" fillId="0" borderId="31" xfId="1" applyNumberFormat="1" applyFont="1" applyBorder="1" applyAlignment="1">
      <alignment horizontal="right" vertical="center"/>
    </xf>
    <xf numFmtId="194" fontId="7" fillId="0" borderId="30" xfId="1" applyNumberFormat="1" applyFont="1" applyBorder="1" applyAlignment="1">
      <alignment horizontal="right" vertical="center"/>
    </xf>
    <xf numFmtId="185" fontId="7" fillId="0" borderId="19" xfId="1" applyNumberFormat="1" applyFont="1" applyBorder="1" applyAlignment="1">
      <alignment horizontal="center" vertical="center"/>
    </xf>
    <xf numFmtId="194" fontId="7" fillId="0" borderId="20" xfId="1" applyNumberFormat="1" applyFont="1" applyBorder="1" applyAlignment="1">
      <alignment vertical="center"/>
    </xf>
    <xf numFmtId="185" fontId="7" fillId="0" borderId="21" xfId="1" applyNumberFormat="1" applyFont="1" applyBorder="1" applyAlignment="1">
      <alignment horizontal="center" vertical="center"/>
    </xf>
    <xf numFmtId="180" fontId="7" fillId="0" borderId="19" xfId="2" applyNumberFormat="1" applyFont="1" applyBorder="1" applyAlignment="1">
      <alignment horizontal="center" vertical="center"/>
    </xf>
    <xf numFmtId="180" fontId="7" fillId="0" borderId="19" xfId="2" applyNumberFormat="1" applyFont="1" applyFill="1" applyBorder="1" applyAlignment="1">
      <alignment horizontal="center" vertical="center"/>
    </xf>
    <xf numFmtId="180" fontId="7" fillId="0" borderId="21" xfId="2" applyNumberFormat="1" applyFont="1" applyFill="1" applyBorder="1" applyAlignment="1">
      <alignment horizontal="center" vertical="center"/>
    </xf>
    <xf numFmtId="180" fontId="7" fillId="0" borderId="21" xfId="1" applyNumberFormat="1" applyFont="1" applyBorder="1" applyAlignment="1">
      <alignment horizontal="center" vertical="center"/>
    </xf>
    <xf numFmtId="180" fontId="7" fillId="0" borderId="12" xfId="1" applyNumberFormat="1" applyFont="1" applyBorder="1" applyAlignment="1">
      <alignment horizontal="center" vertical="center"/>
    </xf>
    <xf numFmtId="181" fontId="7" fillId="0" borderId="19" xfId="2" applyNumberFormat="1" applyFont="1" applyBorder="1" applyAlignment="1">
      <alignment horizontal="center" vertical="center"/>
    </xf>
    <xf numFmtId="181" fontId="7" fillId="0" borderId="20" xfId="2" applyNumberFormat="1" applyFont="1" applyBorder="1" applyAlignment="1">
      <alignment horizontal="center" vertical="center"/>
    </xf>
    <xf numFmtId="0" fontId="7" fillId="0" borderId="19" xfId="2" applyNumberFormat="1" applyFont="1" applyBorder="1" applyAlignment="1">
      <alignment horizontal="center" vertical="center"/>
    </xf>
    <xf numFmtId="0" fontId="7" fillId="0" borderId="20" xfId="2" applyNumberFormat="1" applyFont="1" applyBorder="1" applyAlignment="1">
      <alignment horizontal="center" vertical="center"/>
    </xf>
    <xf numFmtId="0" fontId="7" fillId="2" borderId="19" xfId="2" applyNumberFormat="1" applyFont="1" applyFill="1" applyBorder="1" applyAlignment="1">
      <alignment horizontal="center" vertical="center"/>
    </xf>
    <xf numFmtId="0" fontId="7" fillId="2" borderId="20" xfId="2" applyNumberFormat="1" applyFont="1" applyFill="1" applyBorder="1" applyAlignment="1">
      <alignment horizontal="center" vertical="center"/>
    </xf>
    <xf numFmtId="188" fontId="7" fillId="0" borderId="18" xfId="1" applyNumberFormat="1" applyFont="1" applyFill="1" applyBorder="1" applyAlignment="1">
      <alignment horizontal="center" vertical="center"/>
    </xf>
    <xf numFmtId="0" fontId="7" fillId="0" borderId="19" xfId="2" applyNumberFormat="1" applyFont="1" applyFill="1" applyBorder="1" applyAlignment="1">
      <alignment horizontal="center" vertical="center"/>
    </xf>
    <xf numFmtId="0" fontId="7" fillId="0" borderId="20" xfId="2" applyNumberFormat="1" applyFont="1" applyFill="1" applyBorder="1" applyAlignment="1">
      <alignment horizontal="center" vertical="center"/>
    </xf>
    <xf numFmtId="188" fontId="7" fillId="0" borderId="11" xfId="1" applyNumberFormat="1" applyFont="1" applyFill="1" applyBorder="1" applyAlignment="1">
      <alignment horizontal="center" vertical="center"/>
    </xf>
    <xf numFmtId="0" fontId="7" fillId="0" borderId="12" xfId="2" applyNumberFormat="1" applyFont="1" applyFill="1" applyBorder="1" applyAlignment="1">
      <alignment horizontal="center" vertical="center"/>
    </xf>
    <xf numFmtId="179" fontId="7" fillId="0" borderId="19" xfId="2" applyNumberFormat="1" applyFont="1" applyBorder="1" applyAlignment="1">
      <alignment horizontal="center" vertical="center"/>
    </xf>
    <xf numFmtId="180" fontId="7" fillId="2" borderId="19" xfId="2" applyNumberFormat="1" applyFont="1" applyFill="1" applyBorder="1" applyAlignment="1">
      <alignment horizontal="center" vertical="center"/>
    </xf>
    <xf numFmtId="180" fontId="7" fillId="2" borderId="19" xfId="1" applyNumberFormat="1" applyFont="1" applyFill="1" applyBorder="1" applyAlignment="1">
      <alignment horizontal="center" vertical="center"/>
    </xf>
    <xf numFmtId="180" fontId="7" fillId="2" borderId="20" xfId="1" applyNumberFormat="1" applyFont="1" applyFill="1" applyBorder="1" applyAlignment="1">
      <alignment horizontal="center" vertical="center"/>
    </xf>
    <xf numFmtId="180" fontId="7" fillId="0" borderId="19" xfId="1" applyNumberFormat="1" applyFont="1" applyFill="1" applyBorder="1" applyAlignment="1">
      <alignment horizontal="center" vertical="center"/>
    </xf>
    <xf numFmtId="180" fontId="7" fillId="0" borderId="20" xfId="1" applyNumberFormat="1" applyFont="1" applyFill="1" applyBorder="1" applyAlignment="1">
      <alignment horizontal="center" vertical="center"/>
    </xf>
    <xf numFmtId="180" fontId="7" fillId="0" borderId="21" xfId="1" applyNumberFormat="1" applyFont="1" applyFill="1" applyBorder="1" applyAlignment="1">
      <alignment horizontal="center" vertical="center"/>
    </xf>
    <xf numFmtId="180" fontId="7" fillId="0" borderId="12" xfId="1" applyNumberFormat="1" applyFont="1" applyFill="1" applyBorder="1" applyAlignment="1">
      <alignment horizontal="center" vertical="center"/>
    </xf>
    <xf numFmtId="0" fontId="0" fillId="0" borderId="0" xfId="0" applyAlignment="1">
      <alignment wrapText="1"/>
    </xf>
    <xf numFmtId="0" fontId="7" fillId="0" borderId="1" xfId="1" applyFont="1" applyBorder="1" applyAlignment="1">
      <alignment vertical="center"/>
    </xf>
    <xf numFmtId="0" fontId="7" fillId="0" borderId="34" xfId="1" applyFont="1" applyBorder="1" applyAlignment="1">
      <alignment vertical="center"/>
    </xf>
    <xf numFmtId="0" fontId="7" fillId="0" borderId="33" xfId="1" applyFont="1" applyBorder="1" applyAlignment="1">
      <alignment vertical="center"/>
    </xf>
    <xf numFmtId="0" fontId="7" fillId="0" borderId="8" xfId="1" applyFont="1" applyBorder="1" applyAlignment="1">
      <alignment horizontal="center" vertical="center"/>
    </xf>
    <xf numFmtId="0" fontId="7" fillId="0" borderId="49" xfId="1" applyFont="1" applyBorder="1" applyAlignment="1">
      <alignment vertical="center"/>
    </xf>
    <xf numFmtId="38" fontId="7" fillId="0" borderId="5" xfId="9" applyFont="1" applyBorder="1" applyAlignment="1">
      <alignment horizontal="center" vertical="center"/>
    </xf>
    <xf numFmtId="38" fontId="7" fillId="0" borderId="28" xfId="9" applyFont="1" applyBorder="1" applyAlignment="1">
      <alignment horizontal="center" vertical="center"/>
    </xf>
    <xf numFmtId="38" fontId="7" fillId="0" borderId="31" xfId="9" applyFont="1" applyBorder="1" applyAlignment="1">
      <alignment horizontal="center" vertical="center"/>
    </xf>
    <xf numFmtId="38" fontId="7" fillId="0" borderId="8" xfId="9" applyFont="1" applyBorder="1" applyAlignment="1">
      <alignment horizontal="center" vertical="center"/>
    </xf>
    <xf numFmtId="0" fontId="8" fillId="0" borderId="0" xfId="14" applyFont="1"/>
    <xf numFmtId="0" fontId="50" fillId="0" borderId="0" xfId="14" applyFont="1" applyAlignment="1">
      <alignment horizontal="centerContinuous" vertical="center"/>
    </xf>
    <xf numFmtId="0" fontId="50" fillId="0" borderId="0" xfId="14" applyFont="1" applyAlignment="1">
      <alignment horizontal="center" vertical="center"/>
    </xf>
    <xf numFmtId="0" fontId="8" fillId="0" borderId="0" xfId="14" applyFont="1" applyAlignment="1">
      <alignment horizontal="right" wrapText="1"/>
    </xf>
    <xf numFmtId="0" fontId="49" fillId="0" borderId="0" xfId="14" quotePrefix="1" applyFont="1" applyAlignment="1">
      <alignment horizontal="right" vertical="center"/>
    </xf>
    <xf numFmtId="0" fontId="3" fillId="0" borderId="0" xfId="14" applyFont="1"/>
    <xf numFmtId="0" fontId="3" fillId="0" borderId="33" xfId="14" applyFont="1" applyBorder="1"/>
    <xf numFmtId="0" fontId="3" fillId="0" borderId="0" xfId="14" applyFont="1" applyAlignment="1">
      <alignment horizontal="center" vertical="center"/>
    </xf>
    <xf numFmtId="0" fontId="8" fillId="0" borderId="33" xfId="14" applyFont="1" applyBorder="1"/>
    <xf numFmtId="0" fontId="3" fillId="0" borderId="26" xfId="14" applyFont="1" applyBorder="1"/>
    <xf numFmtId="0" fontId="3" fillId="0" borderId="26" xfId="14" applyFont="1" applyBorder="1" applyAlignment="1">
      <alignment horizontal="center" vertical="center"/>
    </xf>
    <xf numFmtId="0" fontId="3" fillId="0" borderId="20" xfId="14" applyFont="1" applyBorder="1"/>
    <xf numFmtId="0" fontId="3" fillId="0" borderId="30" xfId="14" applyFont="1" applyBorder="1"/>
    <xf numFmtId="0" fontId="48" fillId="0" borderId="0" xfId="14" applyAlignment="1">
      <alignment vertical="center" wrapText="1"/>
    </xf>
    <xf numFmtId="0" fontId="3" fillId="0" borderId="28" xfId="14" applyFont="1" applyBorder="1"/>
    <xf numFmtId="0" fontId="48" fillId="0" borderId="0" xfId="14"/>
    <xf numFmtId="0" fontId="8" fillId="0" borderId="26" xfId="14" applyFont="1" applyBorder="1"/>
    <xf numFmtId="0" fontId="8" fillId="0" borderId="30" xfId="14" applyFont="1" applyBorder="1"/>
    <xf numFmtId="0" fontId="3" fillId="0" borderId="0" xfId="14" applyFont="1" applyAlignment="1">
      <alignment horizontal="center"/>
    </xf>
    <xf numFmtId="0" fontId="3" fillId="0" borderId="27" xfId="14" applyFont="1" applyBorder="1"/>
    <xf numFmtId="0" fontId="3" fillId="0" borderId="18" xfId="14" applyFont="1" applyBorder="1"/>
    <xf numFmtId="0" fontId="3" fillId="0" borderId="0" xfId="14" applyFont="1" applyAlignment="1">
      <alignment horizontal="center" vertical="top"/>
    </xf>
    <xf numFmtId="0" fontId="3" fillId="0" borderId="0" xfId="14" applyFont="1" applyAlignment="1">
      <alignment vertical="top"/>
    </xf>
    <xf numFmtId="0" fontId="3" fillId="0" borderId="29" xfId="14" applyFont="1" applyBorder="1"/>
    <xf numFmtId="0" fontId="3" fillId="0" borderId="32" xfId="14" applyFont="1" applyBorder="1"/>
    <xf numFmtId="0" fontId="3" fillId="0" borderId="31" xfId="14" applyFont="1" applyBorder="1"/>
    <xf numFmtId="0" fontId="8" fillId="0" borderId="20" xfId="14" applyFont="1" applyBorder="1"/>
    <xf numFmtId="0" fontId="3" fillId="0" borderId="0" xfId="14" applyFont="1" applyAlignment="1">
      <alignment vertical="center"/>
    </xf>
    <xf numFmtId="0" fontId="3" fillId="0" borderId="0" xfId="14" applyFont="1" applyAlignment="1">
      <alignment horizontal="center" vertical="center" textRotation="255"/>
    </xf>
    <xf numFmtId="0" fontId="3" fillId="0" borderId="33" xfId="14" applyFont="1" applyBorder="1" applyAlignment="1">
      <alignment horizontal="center" vertical="center"/>
    </xf>
    <xf numFmtId="0" fontId="52" fillId="0" borderId="33" xfId="14" applyFont="1" applyBorder="1"/>
    <xf numFmtId="0" fontId="52" fillId="0" borderId="0" xfId="14" applyFont="1"/>
    <xf numFmtId="0" fontId="8" fillId="0" borderId="28" xfId="14" applyFont="1" applyBorder="1"/>
    <xf numFmtId="0" fontId="8" fillId="0" borderId="31" xfId="14" applyFont="1" applyBorder="1"/>
    <xf numFmtId="0" fontId="3" fillId="0" borderId="20" xfId="14" applyFont="1" applyBorder="1" applyAlignment="1">
      <alignment vertical="center" wrapText="1"/>
    </xf>
    <xf numFmtId="0" fontId="3" fillId="0" borderId="0" xfId="14" applyFont="1" applyAlignment="1">
      <alignment vertical="center" wrapText="1"/>
    </xf>
    <xf numFmtId="0" fontId="3" fillId="0" borderId="0" xfId="14" applyFont="1" applyAlignment="1">
      <alignment horizontal="center" vertical="center" wrapText="1"/>
    </xf>
    <xf numFmtId="0" fontId="3" fillId="0" borderId="32" xfId="14" applyFont="1" applyBorder="1" applyAlignment="1">
      <alignment vertical="center" textRotation="255" shrinkToFit="1"/>
    </xf>
    <xf numFmtId="0" fontId="3" fillId="0" borderId="0" xfId="14" applyFont="1" applyAlignment="1">
      <alignment vertical="center" textRotation="255" shrinkToFit="1"/>
    </xf>
    <xf numFmtId="0" fontId="53" fillId="0" borderId="0" xfId="14" applyFont="1" applyAlignment="1">
      <alignment horizontal="center" vertical="center" textRotation="255" shrinkToFit="1"/>
    </xf>
    <xf numFmtId="0" fontId="3" fillId="0" borderId="30" xfId="14" applyFont="1" applyBorder="1" applyAlignment="1">
      <alignment horizontal="center" vertical="center"/>
    </xf>
    <xf numFmtId="0" fontId="8" fillId="0" borderId="32" xfId="14" applyFont="1" applyBorder="1"/>
    <xf numFmtId="0" fontId="3" fillId="0" borderId="29" xfId="14" applyFont="1" applyBorder="1" applyAlignment="1">
      <alignment horizontal="center" vertical="center"/>
    </xf>
    <xf numFmtId="0" fontId="3" fillId="0" borderId="18" xfId="14" applyFont="1" applyBorder="1" applyAlignment="1">
      <alignment horizontal="center" vertical="center"/>
    </xf>
    <xf numFmtId="0" fontId="3" fillId="0" borderId="0" xfId="14" applyFont="1" applyAlignment="1">
      <alignment horizontal="center" vertical="center" shrinkToFit="1"/>
    </xf>
    <xf numFmtId="0" fontId="3" fillId="0" borderId="26" xfId="14" applyFont="1" applyBorder="1" applyAlignment="1">
      <alignment horizontal="center" vertical="center" shrinkToFit="1"/>
    </xf>
    <xf numFmtId="0" fontId="48" fillId="0" borderId="0" xfId="14" applyFont="1"/>
    <xf numFmtId="0" fontId="48" fillId="0" borderId="0" xfId="14" applyFont="1" applyAlignment="1">
      <alignment vertical="center" wrapText="1"/>
    </xf>
    <xf numFmtId="0" fontId="48" fillId="0" borderId="0" xfId="14" applyFont="1" applyAlignment="1">
      <alignment vertical="center"/>
    </xf>
    <xf numFmtId="0" fontId="48" fillId="0" borderId="0" xfId="14" applyFont="1" applyAlignment="1">
      <alignment horizontal="left" vertical="center"/>
    </xf>
    <xf numFmtId="0" fontId="56" fillId="0" borderId="0" xfId="1" applyFont="1" applyAlignment="1">
      <alignment horizontal="left" vertical="center"/>
    </xf>
    <xf numFmtId="0" fontId="9" fillId="0" borderId="1" xfId="1" applyFont="1" applyBorder="1" applyAlignment="1">
      <alignment horizontal="center" vertical="center"/>
    </xf>
    <xf numFmtId="0" fontId="9" fillId="0" borderId="25" xfId="1" applyFont="1" applyBorder="1" applyAlignment="1">
      <alignment horizontal="center" vertical="center"/>
    </xf>
    <xf numFmtId="0" fontId="9" fillId="0" borderId="0" xfId="1" applyFont="1" applyAlignment="1">
      <alignment horizontal="center" vertical="center"/>
    </xf>
    <xf numFmtId="0" fontId="7" fillId="0" borderId="5" xfId="1" applyFont="1" applyBorder="1" applyAlignment="1">
      <alignment vertical="center"/>
    </xf>
    <xf numFmtId="222" fontId="7" fillId="0" borderId="6" xfId="1" applyNumberFormat="1" applyFont="1" applyBorder="1" applyAlignment="1">
      <alignment horizontal="center" vertical="center"/>
    </xf>
    <xf numFmtId="0" fontId="9" fillId="0" borderId="4" xfId="1" applyFont="1" applyBorder="1" applyAlignment="1">
      <alignment vertical="center"/>
    </xf>
    <xf numFmtId="0" fontId="9" fillId="0" borderId="34" xfId="1" applyFont="1" applyBorder="1" applyAlignment="1">
      <alignment vertical="center"/>
    </xf>
    <xf numFmtId="0" fontId="7" fillId="0" borderId="5" xfId="1" applyFont="1" applyBorder="1" applyAlignment="1">
      <alignment horizontal="distributed" vertical="center"/>
    </xf>
    <xf numFmtId="0" fontId="9" fillId="0" borderId="32" xfId="1" applyFont="1" applyBorder="1" applyAlignment="1">
      <alignment vertical="center"/>
    </xf>
    <xf numFmtId="0" fontId="9" fillId="0" borderId="33" xfId="1" applyFont="1" applyBorder="1" applyAlignment="1">
      <alignment vertical="center"/>
    </xf>
    <xf numFmtId="0" fontId="9" fillId="0" borderId="34" xfId="1" applyFont="1" applyBorder="1" applyAlignment="1">
      <alignment vertical="center" wrapText="1"/>
    </xf>
    <xf numFmtId="0" fontId="9" fillId="0" borderId="6" xfId="1" applyFont="1" applyBorder="1" applyAlignment="1">
      <alignment vertical="center"/>
    </xf>
    <xf numFmtId="222" fontId="7" fillId="0" borderId="30" xfId="1" applyNumberFormat="1" applyFont="1" applyBorder="1" applyAlignment="1">
      <alignment horizontal="center" vertical="center"/>
    </xf>
    <xf numFmtId="0" fontId="9" fillId="0" borderId="29" xfId="1" applyFont="1" applyBorder="1" applyAlignment="1">
      <alignment vertical="center"/>
    </xf>
    <xf numFmtId="0" fontId="9" fillId="0" borderId="27" xfId="1" applyFont="1" applyBorder="1" applyAlignment="1">
      <alignment vertical="center"/>
    </xf>
    <xf numFmtId="222" fontId="7" fillId="0" borderId="26" xfId="1" applyNumberFormat="1" applyFont="1" applyBorder="1" applyAlignment="1">
      <alignment horizontal="center" vertical="center"/>
    </xf>
    <xf numFmtId="0" fontId="7" fillId="0" borderId="8" xfId="1" applyFont="1" applyBorder="1" applyAlignment="1">
      <alignment vertical="center"/>
    </xf>
    <xf numFmtId="222" fontId="7" fillId="0" borderId="9" xfId="1" applyNumberFormat="1" applyFont="1" applyBorder="1" applyAlignment="1">
      <alignment horizontal="center" vertical="center"/>
    </xf>
    <xf numFmtId="0" fontId="9" fillId="0" borderId="7" xfId="1" applyFont="1" applyBorder="1" applyAlignment="1">
      <alignment vertical="center"/>
    </xf>
    <xf numFmtId="0" fontId="9" fillId="0" borderId="49" xfId="1" applyFont="1" applyBorder="1" applyAlignment="1">
      <alignment vertical="center"/>
    </xf>
    <xf numFmtId="58" fontId="0" fillId="0" borderId="0" xfId="0" applyNumberFormat="1"/>
    <xf numFmtId="0" fontId="0" fillId="0" borderId="0" xfId="0" applyAlignment="1">
      <alignment horizontal="right"/>
    </xf>
    <xf numFmtId="0" fontId="0" fillId="0" borderId="5" xfId="0" applyBorder="1"/>
    <xf numFmtId="0" fontId="55" fillId="0" borderId="5" xfId="0" applyFont="1" applyBorder="1" applyAlignment="1">
      <alignment vertical="center" textRotation="255"/>
    </xf>
    <xf numFmtId="0" fontId="0" fillId="0" borderId="5" xfId="0" applyBorder="1" applyAlignment="1">
      <alignment vertical="center" wrapText="1"/>
    </xf>
    <xf numFmtId="0" fontId="57" fillId="0" borderId="0" xfId="0" applyFont="1"/>
    <xf numFmtId="0" fontId="58" fillId="0" borderId="0" xfId="0" applyFont="1" applyAlignment="1">
      <alignment vertical="top" wrapText="1"/>
    </xf>
    <xf numFmtId="0" fontId="59" fillId="0" borderId="0" xfId="0" applyFont="1" applyAlignment="1">
      <alignment vertical="top" wrapText="1"/>
    </xf>
    <xf numFmtId="0" fontId="61" fillId="0" borderId="0" xfId="12" applyFont="1">
      <alignment vertical="center"/>
    </xf>
    <xf numFmtId="0" fontId="2" fillId="0" borderId="0" xfId="12" applyAlignment="1">
      <alignment horizontal="distributed" vertical="center"/>
    </xf>
    <xf numFmtId="0" fontId="62" fillId="0" borderId="0" xfId="12" applyFont="1">
      <alignment vertical="center"/>
    </xf>
    <xf numFmtId="0" fontId="62" fillId="0" borderId="0" xfId="12" applyFont="1" applyAlignment="1">
      <alignment horizontal="distributed" vertical="center"/>
    </xf>
    <xf numFmtId="0" fontId="62" fillId="0" borderId="32" xfId="12" applyFont="1" applyBorder="1">
      <alignment vertical="center"/>
    </xf>
    <xf numFmtId="0" fontId="62" fillId="0" borderId="30" xfId="12" applyFont="1" applyBorder="1">
      <alignment vertical="center"/>
    </xf>
    <xf numFmtId="0" fontId="62" fillId="0" borderId="26" xfId="12" applyFont="1" applyBorder="1">
      <alignment vertical="center"/>
    </xf>
    <xf numFmtId="0" fontId="62" fillId="0" borderId="27" xfId="12" applyFont="1" applyBorder="1">
      <alignment vertical="center"/>
    </xf>
    <xf numFmtId="0" fontId="62" fillId="0" borderId="18" xfId="12" applyFont="1" applyBorder="1">
      <alignment vertical="center"/>
    </xf>
    <xf numFmtId="0" fontId="62" fillId="0" borderId="0" xfId="12" applyFont="1" applyAlignment="1">
      <alignment horizontal="distributed" vertical="top"/>
    </xf>
    <xf numFmtId="0" fontId="62" fillId="0" borderId="33" xfId="12" applyFont="1" applyBorder="1">
      <alignment vertical="center"/>
    </xf>
    <xf numFmtId="0" fontId="62" fillId="0" borderId="20" xfId="12" applyFont="1" applyBorder="1">
      <alignment vertical="center"/>
    </xf>
    <xf numFmtId="0" fontId="62" fillId="0" borderId="29" xfId="12" applyFont="1" applyBorder="1">
      <alignment vertical="center"/>
    </xf>
    <xf numFmtId="0" fontId="62" fillId="0" borderId="32" xfId="12" applyFont="1" applyBorder="1" applyAlignment="1">
      <alignment horizontal="distributed" vertical="center"/>
    </xf>
    <xf numFmtId="0" fontId="2" fillId="0" borderId="26" xfId="12" applyBorder="1">
      <alignment vertical="center"/>
    </xf>
    <xf numFmtId="38" fontId="7" fillId="0" borderId="19" xfId="2" applyFont="1" applyBorder="1" applyAlignment="1">
      <alignment horizontal="right" vertical="center"/>
    </xf>
    <xf numFmtId="0" fontId="7" fillId="0" borderId="29"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21" xfId="1" applyFont="1" applyFill="1" applyBorder="1" applyAlignment="1">
      <alignment horizontal="right" vertical="center"/>
    </xf>
    <xf numFmtId="183" fontId="7" fillId="0" borderId="21" xfId="1" applyNumberFormat="1" applyFont="1" applyFill="1" applyBorder="1" applyAlignment="1">
      <alignment horizontal="right" vertical="center"/>
    </xf>
    <xf numFmtId="0" fontId="7" fillId="0" borderId="12" xfId="1" applyFont="1" applyFill="1" applyBorder="1" applyAlignment="1">
      <alignment horizontal="right" vertical="center"/>
    </xf>
    <xf numFmtId="0" fontId="7" fillId="0" borderId="68" xfId="1" applyFont="1" applyFill="1" applyBorder="1" applyAlignment="1">
      <alignment horizontal="center" vertical="center"/>
    </xf>
    <xf numFmtId="179" fontId="7" fillId="0" borderId="70" xfId="2" applyNumberFormat="1" applyFont="1" applyFill="1" applyBorder="1" applyAlignment="1">
      <alignment horizontal="center" vertical="center"/>
    </xf>
    <xf numFmtId="179" fontId="7" fillId="0" borderId="70" xfId="1" applyNumberFormat="1" applyFont="1" applyFill="1" applyBorder="1" applyAlignment="1">
      <alignment horizontal="center" vertical="center"/>
    </xf>
    <xf numFmtId="179" fontId="7" fillId="0" borderId="68" xfId="1" applyNumberFormat="1" applyFont="1" applyFill="1" applyBorder="1" applyAlignment="1">
      <alignment horizontal="center" vertical="center"/>
    </xf>
    <xf numFmtId="179" fontId="7" fillId="0" borderId="69" xfId="1" applyNumberFormat="1" applyFont="1" applyFill="1" applyBorder="1" applyAlignment="1">
      <alignment horizontal="center" vertical="center"/>
    </xf>
    <xf numFmtId="179" fontId="7" fillId="0" borderId="69" xfId="2" applyNumberFormat="1" applyFont="1" applyFill="1" applyBorder="1" applyAlignment="1">
      <alignment horizontal="center" vertical="center"/>
    </xf>
    <xf numFmtId="0" fontId="15" fillId="0" borderId="11" xfId="1" applyFont="1" applyFill="1" applyBorder="1" applyAlignment="1">
      <alignment horizontal="center" vertical="center"/>
    </xf>
    <xf numFmtId="179" fontId="15" fillId="0" borderId="21" xfId="2" applyNumberFormat="1" applyFont="1" applyFill="1" applyBorder="1" applyAlignment="1">
      <alignment horizontal="right" vertical="center"/>
    </xf>
    <xf numFmtId="179" fontId="15" fillId="0" borderId="21" xfId="1" applyNumberFormat="1" applyFont="1" applyFill="1" applyBorder="1" applyAlignment="1">
      <alignment horizontal="right" vertical="center"/>
    </xf>
    <xf numFmtId="179" fontId="15" fillId="0" borderId="21" xfId="1" applyNumberFormat="1" applyFont="1" applyFill="1" applyBorder="1" applyAlignment="1">
      <alignment vertical="center"/>
    </xf>
    <xf numFmtId="179" fontId="15" fillId="0" borderId="12" xfId="2" applyNumberFormat="1" applyFont="1" applyFill="1" applyBorder="1" applyAlignment="1">
      <alignment vertical="center"/>
    </xf>
    <xf numFmtId="0" fontId="6" fillId="0" borderId="0" xfId="1" applyFont="1" applyFill="1" applyAlignment="1">
      <alignment vertical="center"/>
    </xf>
    <xf numFmtId="3" fontId="6" fillId="0" borderId="0" xfId="1" applyNumberFormat="1" applyFont="1" applyFill="1" applyAlignment="1">
      <alignment vertical="center"/>
    </xf>
    <xf numFmtId="181" fontId="7" fillId="0" borderId="21" xfId="1" applyNumberFormat="1" applyFont="1" applyFill="1" applyBorder="1" applyAlignment="1">
      <alignment horizontal="center" vertical="center"/>
    </xf>
    <xf numFmtId="181" fontId="7" fillId="0" borderId="10" xfId="1" applyNumberFormat="1" applyFont="1" applyFill="1" applyBorder="1" applyAlignment="1">
      <alignment horizontal="center" vertical="center"/>
    </xf>
    <xf numFmtId="0" fontId="7" fillId="0" borderId="45" xfId="1" applyFont="1" applyFill="1" applyBorder="1" applyAlignment="1">
      <alignment horizontal="center" vertical="center"/>
    </xf>
    <xf numFmtId="184" fontId="7" fillId="0" borderId="46" xfId="1" applyNumberFormat="1" applyFont="1" applyFill="1" applyBorder="1" applyAlignment="1">
      <alignment horizontal="center" vertical="center"/>
    </xf>
    <xf numFmtId="38" fontId="7" fillId="0" borderId="47" xfId="2" applyFont="1" applyFill="1" applyBorder="1" applyAlignment="1">
      <alignment horizontal="center" vertical="center"/>
    </xf>
    <xf numFmtId="184" fontId="7" fillId="0" borderId="48" xfId="1" applyNumberFormat="1" applyFont="1" applyFill="1" applyBorder="1" applyAlignment="1">
      <alignment horizontal="center" vertical="center"/>
    </xf>
    <xf numFmtId="0" fontId="7" fillId="0" borderId="24" xfId="1" applyFont="1" applyFill="1" applyBorder="1" applyAlignment="1">
      <alignment horizontal="center" vertical="center"/>
    </xf>
    <xf numFmtId="0" fontId="7" fillId="0" borderId="30" xfId="1" applyFont="1" applyFill="1" applyBorder="1" applyAlignment="1">
      <alignment vertical="center"/>
    </xf>
    <xf numFmtId="0" fontId="7" fillId="0" borderId="26" xfId="1" applyFont="1" applyFill="1" applyBorder="1" applyAlignment="1">
      <alignment horizontal="right" vertical="center"/>
    </xf>
    <xf numFmtId="192" fontId="7" fillId="0" borderId="20" xfId="1" applyNumberFormat="1" applyFont="1" applyFill="1" applyBorder="1" applyAlignment="1">
      <alignment horizontal="center" vertical="center"/>
    </xf>
    <xf numFmtId="192" fontId="7" fillId="0" borderId="12" xfId="1" applyNumberFormat="1" applyFont="1" applyFill="1" applyBorder="1" applyAlignment="1">
      <alignment horizontal="center" vertical="center"/>
    </xf>
    <xf numFmtId="49" fontId="7" fillId="0" borderId="0" xfId="1" applyNumberFormat="1" applyFont="1" applyBorder="1" applyAlignment="1">
      <alignment horizontal="right" vertical="center"/>
    </xf>
    <xf numFmtId="49" fontId="7" fillId="0" borderId="0" xfId="1" applyNumberFormat="1" applyFont="1" applyBorder="1" applyAlignment="1">
      <alignment vertical="center"/>
    </xf>
    <xf numFmtId="0" fontId="7" fillId="0" borderId="0" xfId="1" applyFont="1" applyBorder="1" applyAlignment="1">
      <alignment horizontal="center" vertical="center"/>
    </xf>
    <xf numFmtId="49" fontId="7" fillId="0" borderId="10" xfId="1" applyNumberFormat="1" applyFont="1" applyBorder="1" applyAlignment="1">
      <alignment vertical="center"/>
    </xf>
    <xf numFmtId="0" fontId="11" fillId="0" borderId="21" xfId="1" applyFont="1" applyFill="1" applyBorder="1" applyAlignment="1">
      <alignment horizontal="center" vertical="center"/>
    </xf>
    <xf numFmtId="181" fontId="11" fillId="0" borderId="21" xfId="1" applyNumberFormat="1" applyFont="1" applyFill="1" applyBorder="1" applyAlignment="1">
      <alignment horizontal="center" vertical="center"/>
    </xf>
    <xf numFmtId="0" fontId="7" fillId="0" borderId="21" xfId="1" applyFont="1" applyFill="1" applyBorder="1" applyAlignment="1">
      <alignment vertical="center"/>
    </xf>
    <xf numFmtId="195" fontId="7" fillId="0" borderId="11" xfId="10" applyNumberFormat="1" applyFont="1" applyFill="1" applyBorder="1" applyAlignment="1">
      <alignment horizontal="center" vertical="center"/>
    </xf>
    <xf numFmtId="195" fontId="7" fillId="0" borderId="12" xfId="10" applyNumberFormat="1" applyFont="1" applyFill="1" applyBorder="1" applyAlignment="1">
      <alignment vertical="center"/>
    </xf>
    <xf numFmtId="179" fontId="7" fillId="0" borderId="12" xfId="11" applyNumberFormat="1" applyFont="1" applyFill="1" applyBorder="1" applyAlignment="1">
      <alignment vertical="center"/>
    </xf>
    <xf numFmtId="195" fontId="7" fillId="0" borderId="12" xfId="10" applyNumberFormat="1" applyFont="1" applyFill="1" applyBorder="1" applyAlignment="1">
      <alignment horizontal="center" vertical="center"/>
    </xf>
    <xf numFmtId="205" fontId="7" fillId="0" borderId="21" xfId="10" applyNumberFormat="1" applyFont="1" applyFill="1" applyBorder="1" applyAlignment="1">
      <alignment horizontal="center" vertical="center"/>
    </xf>
    <xf numFmtId="205" fontId="7" fillId="0" borderId="12" xfId="10" applyNumberFormat="1" applyFont="1" applyFill="1" applyBorder="1" applyAlignment="1">
      <alignment horizontal="center" vertical="center"/>
    </xf>
    <xf numFmtId="0" fontId="7" fillId="0" borderId="0" xfId="10" applyFont="1" applyFill="1" applyAlignment="1">
      <alignment vertical="center"/>
    </xf>
    <xf numFmtId="0" fontId="7" fillId="0" borderId="27" xfId="1" applyFont="1" applyFill="1" applyBorder="1" applyAlignment="1">
      <alignment horizontal="center" vertical="center"/>
    </xf>
    <xf numFmtId="0" fontId="7" fillId="0" borderId="28" xfId="1" applyFont="1" applyFill="1" applyBorder="1" applyAlignment="1">
      <alignment vertical="center"/>
    </xf>
    <xf numFmtId="0" fontId="7" fillId="0" borderId="28" xfId="1" applyFont="1" applyFill="1" applyBorder="1" applyAlignment="1">
      <alignment horizontal="right" vertical="center"/>
    </xf>
    <xf numFmtId="183" fontId="7" fillId="0" borderId="28" xfId="1" applyNumberFormat="1" applyFont="1" applyFill="1" applyBorder="1" applyAlignment="1">
      <alignment horizontal="right" vertical="center"/>
    </xf>
    <xf numFmtId="183" fontId="7" fillId="0" borderId="26" xfId="1" applyNumberFormat="1" applyFont="1" applyFill="1" applyBorder="1" applyAlignment="1">
      <alignment horizontal="right" vertical="center"/>
    </xf>
    <xf numFmtId="0" fontId="7" fillId="0" borderId="19" xfId="1" applyFont="1" applyFill="1" applyBorder="1" applyAlignment="1">
      <alignment horizontal="right" vertical="center"/>
    </xf>
    <xf numFmtId="183" fontId="7" fillId="0" borderId="19" xfId="1" applyNumberFormat="1" applyFont="1" applyFill="1" applyBorder="1" applyAlignment="1">
      <alignment horizontal="right" vertical="center"/>
    </xf>
    <xf numFmtId="183" fontId="7" fillId="0" borderId="20" xfId="1" applyNumberFormat="1" applyFont="1" applyFill="1" applyBorder="1" applyAlignment="1">
      <alignment horizontal="right" vertical="center"/>
    </xf>
    <xf numFmtId="183" fontId="7" fillId="0" borderId="12" xfId="1" applyNumberFormat="1" applyFont="1" applyFill="1" applyBorder="1" applyAlignment="1">
      <alignment horizontal="right" vertical="center"/>
    </xf>
    <xf numFmtId="0" fontId="7" fillId="0" borderId="27" xfId="1" applyFont="1" applyFill="1" applyBorder="1" applyAlignment="1">
      <alignment horizontal="right" vertical="center"/>
    </xf>
    <xf numFmtId="183" fontId="7" fillId="0" borderId="18" xfId="1" applyNumberFormat="1" applyFont="1" applyFill="1" applyBorder="1" applyAlignment="1">
      <alignment horizontal="right" vertical="center"/>
    </xf>
    <xf numFmtId="0" fontId="2" fillId="0" borderId="0" xfId="1" applyFill="1"/>
    <xf numFmtId="0" fontId="7" fillId="0" borderId="18" xfId="1" applyFont="1" applyFill="1" applyBorder="1" applyAlignment="1">
      <alignment horizontal="right" vertical="center"/>
    </xf>
    <xf numFmtId="0" fontId="7" fillId="0" borderId="11" xfId="1" applyFont="1" applyFill="1" applyBorder="1" applyAlignment="1">
      <alignment horizontal="right" vertical="center"/>
    </xf>
    <xf numFmtId="183" fontId="7" fillId="0" borderId="11" xfId="1" applyNumberFormat="1" applyFont="1" applyFill="1" applyBorder="1" applyAlignment="1">
      <alignment horizontal="right" vertical="center"/>
    </xf>
    <xf numFmtId="0" fontId="20" fillId="0" borderId="31" xfId="12" applyFont="1" applyFill="1" applyBorder="1" applyAlignment="1">
      <alignment horizontal="center" vertical="center"/>
    </xf>
    <xf numFmtId="179" fontId="20" fillId="0" borderId="31" xfId="12" applyNumberFormat="1" applyFont="1" applyFill="1" applyBorder="1" applyAlignment="1">
      <alignment horizontal="right" vertical="center"/>
    </xf>
    <xf numFmtId="49" fontId="20" fillId="0" borderId="0" xfId="12" applyNumberFormat="1" applyFont="1" applyBorder="1">
      <alignment vertical="center"/>
    </xf>
    <xf numFmtId="179" fontId="20" fillId="0" borderId="31" xfId="12" applyNumberFormat="1" applyFont="1" applyBorder="1" applyAlignment="1">
      <alignment horizontal="right" vertical="center"/>
    </xf>
    <xf numFmtId="179" fontId="7" fillId="0" borderId="20" xfId="1" applyNumberFormat="1" applyFont="1" applyBorder="1" applyAlignment="1">
      <alignment vertical="center"/>
    </xf>
    <xf numFmtId="179" fontId="7" fillId="0" borderId="12" xfId="1" applyNumberFormat="1" applyFont="1" applyBorder="1" applyAlignment="1">
      <alignment vertical="center"/>
    </xf>
    <xf numFmtId="192" fontId="7" fillId="0" borderId="12" xfId="2" applyNumberFormat="1" applyFont="1" applyFill="1" applyBorder="1" applyAlignment="1">
      <alignment horizontal="center" vertical="center"/>
    </xf>
    <xf numFmtId="190" fontId="7" fillId="0" borderId="12" xfId="2" applyNumberFormat="1" applyFont="1" applyFill="1" applyBorder="1" applyAlignment="1">
      <alignment horizontal="center" vertical="center"/>
    </xf>
    <xf numFmtId="0" fontId="9" fillId="0" borderId="57" xfId="10" applyFont="1" applyFill="1" applyBorder="1" applyAlignment="1">
      <alignment horizontal="center" vertical="center"/>
    </xf>
    <xf numFmtId="195" fontId="9" fillId="0" borderId="57" xfId="10" applyNumberFormat="1" applyFont="1" applyFill="1" applyBorder="1" applyAlignment="1">
      <alignment vertical="center"/>
    </xf>
    <xf numFmtId="195" fontId="9" fillId="0" borderId="19" xfId="10" applyNumberFormat="1" applyFont="1" applyFill="1" applyBorder="1" applyAlignment="1">
      <alignment vertical="center"/>
    </xf>
    <xf numFmtId="195" fontId="9" fillId="0" borderId="58" xfId="10" applyNumberFormat="1" applyFont="1" applyFill="1" applyBorder="1" applyAlignment="1">
      <alignment vertical="center"/>
    </xf>
    <xf numFmtId="195" fontId="9" fillId="0" borderId="57" xfId="10" applyNumberFormat="1" applyFont="1" applyFill="1" applyBorder="1" applyAlignment="1">
      <alignment horizontal="right" vertical="center"/>
    </xf>
    <xf numFmtId="195" fontId="9" fillId="0" borderId="58" xfId="10" applyNumberFormat="1" applyFont="1" applyFill="1" applyBorder="1" applyAlignment="1">
      <alignment horizontal="right" vertical="center"/>
    </xf>
    <xf numFmtId="0" fontId="9" fillId="0" borderId="31" xfId="10" applyFont="1" applyFill="1" applyBorder="1" applyAlignment="1">
      <alignment horizontal="center" vertical="center"/>
    </xf>
    <xf numFmtId="195" fontId="9" fillId="0" borderId="31" xfId="10" applyNumberFormat="1" applyFont="1" applyFill="1" applyBorder="1" applyAlignment="1">
      <alignment vertical="center"/>
    </xf>
    <xf numFmtId="195" fontId="9" fillId="0" borderId="54" xfId="10" applyNumberFormat="1" applyFont="1" applyFill="1" applyBorder="1" applyAlignment="1">
      <alignment vertical="center"/>
    </xf>
    <xf numFmtId="195" fontId="9" fillId="0" borderId="30" xfId="10" applyNumberFormat="1" applyFont="1" applyFill="1" applyBorder="1" applyAlignment="1">
      <alignment vertical="center"/>
    </xf>
    <xf numFmtId="195" fontId="9" fillId="0" borderId="31" xfId="10" applyNumberFormat="1" applyFont="1" applyFill="1" applyBorder="1" applyAlignment="1">
      <alignment horizontal="right" vertical="center"/>
    </xf>
    <xf numFmtId="195" fontId="9" fillId="0" borderId="30" xfId="10" applyNumberFormat="1" applyFont="1" applyFill="1" applyBorder="1" applyAlignment="1">
      <alignment horizontal="right" vertical="center"/>
    </xf>
    <xf numFmtId="0" fontId="66" fillId="0" borderId="0" xfId="0" applyFont="1"/>
    <xf numFmtId="0" fontId="63" fillId="0" borderId="0" xfId="15"/>
    <xf numFmtId="0" fontId="3" fillId="0" borderId="0" xfId="0" applyFont="1" applyAlignment="1">
      <alignment vertical="center"/>
    </xf>
    <xf numFmtId="0" fontId="7" fillId="0" borderId="0" xfId="0" applyFont="1" applyAlignment="1">
      <alignment vertical="center"/>
    </xf>
    <xf numFmtId="0" fontId="7" fillId="0" borderId="0" xfId="0" applyFont="1"/>
    <xf numFmtId="38" fontId="7" fillId="0" borderId="19" xfId="9" applyFont="1" applyFill="1" applyBorder="1" applyAlignment="1">
      <alignment vertical="center"/>
    </xf>
    <xf numFmtId="38" fontId="7" fillId="0" borderId="20" xfId="9" applyFont="1" applyFill="1" applyBorder="1" applyAlignment="1">
      <alignment vertical="center"/>
    </xf>
    <xf numFmtId="183" fontId="7" fillId="0" borderId="20" xfId="1" applyNumberFormat="1" applyFont="1" applyFill="1" applyBorder="1" applyAlignment="1">
      <alignment vertical="center"/>
    </xf>
    <xf numFmtId="38" fontId="7" fillId="0" borderId="19" xfId="9" applyFont="1" applyFill="1" applyBorder="1" applyAlignment="1">
      <alignment horizontal="center" vertical="center"/>
    </xf>
    <xf numFmtId="38" fontId="7" fillId="0" borderId="20" xfId="9" applyFont="1" applyFill="1" applyBorder="1" applyAlignment="1">
      <alignment horizontal="center" vertical="center"/>
    </xf>
    <xf numFmtId="183" fontId="7" fillId="0" borderId="20" xfId="1" applyNumberFormat="1" applyFont="1" applyFill="1" applyBorder="1" applyAlignment="1">
      <alignment horizontal="center" vertical="center"/>
    </xf>
    <xf numFmtId="38" fontId="7" fillId="0" borderId="21" xfId="9" applyFont="1" applyFill="1" applyBorder="1" applyAlignment="1">
      <alignment vertical="center"/>
    </xf>
    <xf numFmtId="38" fontId="7" fillId="0" borderId="12" xfId="9" applyFont="1" applyFill="1" applyBorder="1" applyAlignment="1">
      <alignment vertical="center"/>
    </xf>
    <xf numFmtId="183" fontId="7" fillId="0" borderId="12" xfId="1" applyNumberFormat="1" applyFont="1" applyFill="1" applyBorder="1" applyAlignment="1">
      <alignment vertical="center"/>
    </xf>
    <xf numFmtId="0" fontId="7" fillId="0" borderId="35" xfId="0" applyFont="1" applyBorder="1" applyAlignment="1">
      <alignment horizontal="right" vertical="center"/>
    </xf>
    <xf numFmtId="0" fontId="7" fillId="0" borderId="38" xfId="0" applyFont="1" applyBorder="1" applyAlignment="1">
      <alignment horizontal="left" vertical="center"/>
    </xf>
    <xf numFmtId="38" fontId="7" fillId="0" borderId="5" xfId="2" applyFont="1" applyFill="1" applyBorder="1" applyAlignment="1">
      <alignment horizontal="center" vertical="center"/>
    </xf>
    <xf numFmtId="0" fontId="7" fillId="0" borderId="6" xfId="0" applyFont="1" applyBorder="1" applyAlignment="1">
      <alignment horizontal="center" vertical="center" shrinkToFit="1"/>
    </xf>
    <xf numFmtId="0" fontId="7" fillId="0" borderId="84" xfId="0" applyFont="1" applyBorder="1" applyAlignment="1">
      <alignment horizontal="left" vertical="center"/>
    </xf>
    <xf numFmtId="38" fontId="7" fillId="0" borderId="28" xfId="2" applyFont="1" applyFill="1" applyBorder="1" applyAlignment="1">
      <alignment horizontal="right" vertical="center"/>
    </xf>
    <xf numFmtId="0" fontId="7" fillId="0" borderId="26" xfId="0" applyFont="1" applyBorder="1" applyAlignment="1">
      <alignment horizontal="right" vertical="center" shrinkToFit="1"/>
    </xf>
    <xf numFmtId="0" fontId="7" fillId="0" borderId="41" xfId="0" applyFont="1" applyBorder="1" applyAlignment="1">
      <alignment horizontal="distributed" vertical="center"/>
    </xf>
    <xf numFmtId="210" fontId="7" fillId="0" borderId="19" xfId="2" applyNumberFormat="1" applyFont="1" applyFill="1" applyBorder="1" applyAlignment="1">
      <alignment vertical="center"/>
    </xf>
    <xf numFmtId="177" fontId="7" fillId="0" borderId="20" xfId="0" applyNumberFormat="1" applyFont="1" applyBorder="1" applyAlignment="1">
      <alignment vertical="center"/>
    </xf>
    <xf numFmtId="0" fontId="28" fillId="0" borderId="41" xfId="0" applyFont="1" applyBorder="1" applyAlignment="1">
      <alignment horizontal="distributed" vertical="center"/>
    </xf>
    <xf numFmtId="210" fontId="7" fillId="0" borderId="19" xfId="2" applyNumberFormat="1" applyFont="1" applyFill="1" applyBorder="1" applyAlignment="1">
      <alignment horizontal="center" vertical="center"/>
    </xf>
    <xf numFmtId="177" fontId="7" fillId="0" borderId="20" xfId="0" applyNumberFormat="1" applyFont="1" applyBorder="1" applyAlignment="1">
      <alignment horizontal="center" vertical="center"/>
    </xf>
    <xf numFmtId="177" fontId="7" fillId="0" borderId="20" xfId="0" applyNumberFormat="1" applyFont="1" applyBorder="1" applyAlignment="1">
      <alignment horizontal="right" vertical="center"/>
    </xf>
    <xf numFmtId="210" fontId="7" fillId="0" borderId="19" xfId="2" applyNumberFormat="1" applyFont="1" applyFill="1" applyBorder="1" applyAlignment="1">
      <alignment horizontal="right" vertical="center"/>
    </xf>
    <xf numFmtId="0" fontId="7" fillId="0" borderId="38" xfId="0" applyFont="1" applyBorder="1" applyAlignment="1">
      <alignment horizontal="distributed" vertical="center"/>
    </xf>
    <xf numFmtId="210" fontId="7" fillId="0" borderId="31" xfId="2" applyNumberFormat="1" applyFont="1" applyFill="1" applyBorder="1" applyAlignment="1">
      <alignment vertical="center"/>
    </xf>
    <xf numFmtId="177" fontId="7" fillId="0" borderId="30" xfId="0" applyNumberFormat="1" applyFont="1" applyBorder="1" applyAlignment="1">
      <alignment vertical="center"/>
    </xf>
    <xf numFmtId="0" fontId="7" fillId="0" borderId="45" xfId="0" applyFont="1" applyBorder="1" applyAlignment="1">
      <alignment horizontal="distributed" vertical="center"/>
    </xf>
    <xf numFmtId="210" fontId="7" fillId="0" borderId="21" xfId="2" applyNumberFormat="1" applyFont="1" applyFill="1" applyBorder="1" applyAlignment="1">
      <alignment vertical="center"/>
    </xf>
    <xf numFmtId="177" fontId="7" fillId="0" borderId="12" xfId="0" applyNumberFormat="1" applyFont="1" applyBorder="1" applyAlignment="1">
      <alignment vertical="center"/>
    </xf>
    <xf numFmtId="177" fontId="7" fillId="0" borderId="9" xfId="0" applyNumberFormat="1" applyFont="1" applyBorder="1" applyAlignment="1">
      <alignment vertical="center"/>
    </xf>
    <xf numFmtId="210" fontId="7" fillId="0" borderId="8" xfId="2" applyNumberFormat="1" applyFont="1" applyFill="1" applyBorder="1" applyAlignment="1">
      <alignment vertical="center"/>
    </xf>
    <xf numFmtId="0" fontId="7" fillId="0" borderId="0" xfId="0" applyFont="1" applyAlignment="1">
      <alignment horizontal="distributed" vertical="center"/>
    </xf>
    <xf numFmtId="0" fontId="7" fillId="0" borderId="0" xfId="0" applyFont="1" applyFill="1" applyAlignment="1">
      <alignment vertical="center"/>
    </xf>
    <xf numFmtId="0" fontId="7" fillId="0" borderId="6" xfId="0" applyFont="1" applyFill="1" applyBorder="1" applyAlignment="1">
      <alignment horizontal="center" vertical="center" shrinkToFit="1"/>
    </xf>
    <xf numFmtId="0" fontId="7" fillId="0" borderId="34" xfId="0" applyFont="1" applyFill="1" applyBorder="1" applyAlignment="1">
      <alignment horizontal="center" vertical="center" shrinkToFit="1"/>
    </xf>
    <xf numFmtId="0" fontId="7" fillId="0" borderId="91" xfId="0" applyFont="1" applyFill="1" applyBorder="1" applyAlignment="1">
      <alignment horizontal="center" vertical="center" shrinkToFit="1"/>
    </xf>
    <xf numFmtId="0" fontId="7" fillId="0" borderId="20" xfId="0" applyFont="1" applyFill="1" applyBorder="1" applyAlignment="1">
      <alignment horizontal="right" vertical="center" shrinkToFit="1"/>
    </xf>
    <xf numFmtId="0" fontId="7" fillId="0" borderId="19" xfId="0" applyFont="1" applyFill="1" applyBorder="1" applyAlignment="1">
      <alignment vertical="center"/>
    </xf>
    <xf numFmtId="0" fontId="7" fillId="0" borderId="43" xfId="0" applyFont="1" applyFill="1" applyBorder="1" applyAlignment="1">
      <alignment vertical="center"/>
    </xf>
    <xf numFmtId="38" fontId="7" fillId="0" borderId="20" xfId="2" applyFont="1" applyFill="1" applyBorder="1" applyAlignment="1">
      <alignment horizontal="right" vertical="center"/>
    </xf>
    <xf numFmtId="177" fontId="7" fillId="0" borderId="20" xfId="0" applyNumberFormat="1" applyFont="1" applyFill="1" applyBorder="1" applyAlignment="1">
      <alignment horizontal="right" vertical="center"/>
    </xf>
    <xf numFmtId="183" fontId="7" fillId="0" borderId="0" xfId="0" applyNumberFormat="1" applyFont="1" applyFill="1" applyAlignment="1">
      <alignment vertical="center"/>
    </xf>
    <xf numFmtId="183" fontId="7" fillId="0" borderId="43" xfId="0" applyNumberFormat="1" applyFont="1" applyFill="1" applyBorder="1" applyAlignment="1">
      <alignment vertical="center"/>
    </xf>
    <xf numFmtId="177" fontId="7" fillId="0" borderId="20" xfId="0" applyNumberFormat="1" applyFont="1" applyFill="1" applyBorder="1" applyAlignment="1">
      <alignment horizontal="center" vertical="center"/>
    </xf>
    <xf numFmtId="183" fontId="7" fillId="0" borderId="0" xfId="0" applyNumberFormat="1" applyFont="1" applyFill="1" applyAlignment="1">
      <alignment horizontal="center" vertical="center"/>
    </xf>
    <xf numFmtId="183" fontId="7" fillId="0" borderId="43" xfId="0" applyNumberFormat="1" applyFont="1" applyFill="1" applyBorder="1" applyAlignment="1">
      <alignment horizontal="center" vertical="center"/>
    </xf>
    <xf numFmtId="38" fontId="7" fillId="0" borderId="9" xfId="2" applyFont="1" applyFill="1" applyBorder="1" applyAlignment="1">
      <alignment horizontal="right" vertical="center"/>
    </xf>
    <xf numFmtId="177" fontId="7" fillId="0" borderId="8" xfId="0" applyNumberFormat="1" applyFont="1" applyFill="1" applyBorder="1" applyAlignment="1">
      <alignment horizontal="right" vertical="center"/>
    </xf>
    <xf numFmtId="38" fontId="7" fillId="0" borderId="8" xfId="0" applyNumberFormat="1" applyFont="1" applyFill="1" applyBorder="1" applyAlignment="1">
      <alignment horizontal="right" vertical="center"/>
    </xf>
    <xf numFmtId="38" fontId="7" fillId="0" borderId="8" xfId="2" applyFont="1" applyFill="1" applyBorder="1" applyAlignment="1">
      <alignment horizontal="right" vertical="center"/>
    </xf>
    <xf numFmtId="183" fontId="7" fillId="0" borderId="8" xfId="0" applyNumberFormat="1" applyFont="1" applyFill="1" applyBorder="1" applyAlignment="1">
      <alignment vertical="center"/>
    </xf>
    <xf numFmtId="183" fontId="7" fillId="0" borderId="92" xfId="0" applyNumberFormat="1" applyFont="1" applyFill="1" applyBorder="1" applyAlignment="1">
      <alignment vertical="center"/>
    </xf>
    <xf numFmtId="38" fontId="7" fillId="0" borderId="10" xfId="2" applyFont="1" applyBorder="1" applyAlignment="1">
      <alignment vertical="center"/>
    </xf>
    <xf numFmtId="0" fontId="7" fillId="0" borderId="10" xfId="0" applyFont="1" applyBorder="1" applyAlignment="1">
      <alignment vertical="center"/>
    </xf>
    <xf numFmtId="38" fontId="7" fillId="0" borderId="28" xfId="2" applyFont="1" applyBorder="1" applyAlignment="1">
      <alignment horizontal="right" vertical="center"/>
    </xf>
    <xf numFmtId="0" fontId="7" fillId="0" borderId="26" xfId="0" applyFont="1" applyBorder="1" applyAlignment="1">
      <alignment horizontal="right" vertical="center"/>
    </xf>
    <xf numFmtId="183" fontId="7" fillId="0" borderId="20" xfId="0" applyNumberFormat="1" applyFont="1" applyBorder="1" applyAlignment="1">
      <alignment vertical="center"/>
    </xf>
    <xf numFmtId="38" fontId="7" fillId="0" borderId="0" xfId="0" applyNumberFormat="1" applyFont="1" applyAlignment="1">
      <alignment vertical="center"/>
    </xf>
    <xf numFmtId="183" fontId="7" fillId="0" borderId="0" xfId="2" applyNumberFormat="1" applyFont="1" applyBorder="1" applyAlignment="1">
      <alignment horizontal="right" vertical="center"/>
    </xf>
    <xf numFmtId="183" fontId="7" fillId="0" borderId="19" xfId="2" applyNumberFormat="1" applyFont="1" applyBorder="1" applyAlignment="1">
      <alignment horizontal="right" vertical="center"/>
    </xf>
    <xf numFmtId="0" fontId="7" fillId="0" borderId="93" xfId="0" applyFont="1" applyBorder="1" applyAlignment="1">
      <alignment horizontal="distributed" vertical="center"/>
    </xf>
    <xf numFmtId="38" fontId="7" fillId="0" borderId="54" xfId="2" applyFont="1" applyBorder="1" applyAlignment="1">
      <alignment vertical="center"/>
    </xf>
    <xf numFmtId="183" fontId="7" fillId="0" borderId="55" xfId="0" applyNumberFormat="1" applyFont="1" applyBorder="1" applyAlignment="1">
      <alignment vertical="center"/>
    </xf>
    <xf numFmtId="38" fontId="7" fillId="0" borderId="55" xfId="2" applyFont="1" applyBorder="1" applyAlignment="1">
      <alignment vertical="center"/>
    </xf>
    <xf numFmtId="183" fontId="7" fillId="0" borderId="9" xfId="0" applyNumberFormat="1" applyFont="1" applyBorder="1" applyAlignment="1">
      <alignment vertical="center"/>
    </xf>
    <xf numFmtId="38" fontId="7" fillId="0" borderId="12" xfId="2" applyFont="1" applyBorder="1" applyAlignment="1">
      <alignment vertical="center"/>
    </xf>
    <xf numFmtId="183" fontId="7" fillId="0" borderId="12" xfId="0" applyNumberFormat="1" applyFont="1" applyBorder="1" applyAlignment="1">
      <alignment vertical="center"/>
    </xf>
    <xf numFmtId="0" fontId="7" fillId="0" borderId="10" xfId="0" applyFont="1" applyFill="1" applyBorder="1" applyAlignment="1">
      <alignment vertical="center"/>
    </xf>
    <xf numFmtId="0" fontId="7" fillId="0" borderId="5" xfId="0" applyFont="1" applyFill="1" applyBorder="1" applyAlignment="1">
      <alignment horizontal="center" vertical="center"/>
    </xf>
    <xf numFmtId="0" fontId="7" fillId="0" borderId="83" xfId="0" applyFont="1" applyFill="1" applyBorder="1" applyAlignment="1">
      <alignment horizontal="center" vertical="center" shrinkToFit="1"/>
    </xf>
    <xf numFmtId="0" fontId="7" fillId="0" borderId="20" xfId="0" applyFont="1" applyFill="1" applyBorder="1" applyAlignment="1">
      <alignment horizontal="right" vertical="center"/>
    </xf>
    <xf numFmtId="0" fontId="7" fillId="0" borderId="19" xfId="0" applyFont="1" applyFill="1" applyBorder="1" applyAlignment="1">
      <alignment horizontal="right" vertical="center"/>
    </xf>
    <xf numFmtId="0" fontId="7" fillId="0" borderId="86" xfId="0" applyFont="1" applyFill="1" applyBorder="1" applyAlignment="1">
      <alignment horizontal="right" vertical="center"/>
    </xf>
    <xf numFmtId="183" fontId="7" fillId="0" borderId="20" xfId="0" applyNumberFormat="1" applyFont="1" applyFill="1" applyBorder="1" applyAlignment="1">
      <alignment vertical="center"/>
    </xf>
    <xf numFmtId="183" fontId="7" fillId="0" borderId="86" xfId="0" applyNumberFormat="1" applyFont="1" applyFill="1" applyBorder="1" applyAlignment="1">
      <alignment horizontal="left" vertical="center" indent="1"/>
    </xf>
    <xf numFmtId="38" fontId="7" fillId="0" borderId="18" xfId="2" applyFont="1" applyFill="1" applyBorder="1" applyAlignment="1">
      <alignment horizontal="right" vertical="center"/>
    </xf>
    <xf numFmtId="183" fontId="7" fillId="0" borderId="0" xfId="2" applyNumberFormat="1" applyFont="1" applyFill="1" applyBorder="1" applyAlignment="1">
      <alignment horizontal="right" vertical="center"/>
    </xf>
    <xf numFmtId="38" fontId="7" fillId="0" borderId="30" xfId="2" applyFont="1" applyFill="1" applyBorder="1" applyAlignment="1">
      <alignment vertical="center"/>
    </xf>
    <xf numFmtId="183" fontId="7" fillId="0" borderId="30" xfId="0" applyNumberFormat="1" applyFont="1" applyFill="1" applyBorder="1" applyAlignment="1">
      <alignment vertical="center"/>
    </xf>
    <xf numFmtId="38" fontId="7" fillId="0" borderId="9" xfId="2" applyFont="1" applyFill="1" applyBorder="1" applyAlignment="1">
      <alignment vertical="center"/>
    </xf>
    <xf numFmtId="183" fontId="7" fillId="0" borderId="9" xfId="0" applyNumberFormat="1" applyFont="1" applyFill="1" applyBorder="1" applyAlignment="1">
      <alignment vertical="center"/>
    </xf>
    <xf numFmtId="183" fontId="7" fillId="0" borderId="92" xfId="0" applyNumberFormat="1" applyFont="1" applyFill="1" applyBorder="1" applyAlignment="1">
      <alignment horizontal="left" vertical="center" indent="1"/>
    </xf>
    <xf numFmtId="0" fontId="68" fillId="0" borderId="0" xfId="0" applyFont="1" applyAlignment="1">
      <alignment vertical="center"/>
    </xf>
    <xf numFmtId="0" fontId="68" fillId="0" borderId="10" xfId="0" applyFont="1" applyBorder="1" applyAlignment="1">
      <alignment vertical="center"/>
    </xf>
    <xf numFmtId="0" fontId="69" fillId="0" borderId="10" xfId="0" applyFont="1" applyBorder="1" applyAlignment="1">
      <alignment horizontal="right"/>
    </xf>
    <xf numFmtId="223" fontId="68" fillId="0" borderId="0" xfId="0" applyNumberFormat="1" applyFont="1" applyAlignment="1">
      <alignment vertical="center"/>
    </xf>
    <xf numFmtId="0" fontId="70" fillId="0" borderId="0" xfId="0" applyFont="1" applyAlignment="1">
      <alignment vertical="center"/>
    </xf>
    <xf numFmtId="38" fontId="9" fillId="0" borderId="31" xfId="2" applyFont="1" applyFill="1" applyBorder="1" applyAlignment="1">
      <alignment horizontal="center" vertical="center" shrinkToFit="1"/>
    </xf>
    <xf numFmtId="38" fontId="9" fillId="0" borderId="33" xfId="2" applyFont="1" applyFill="1" applyBorder="1" applyAlignment="1">
      <alignment horizontal="center" vertical="center" shrinkToFit="1"/>
    </xf>
    <xf numFmtId="38" fontId="9" fillId="0" borderId="29" xfId="2" applyFont="1" applyFill="1" applyBorder="1" applyAlignment="1">
      <alignment horizontal="center" vertical="center" shrinkToFit="1"/>
    </xf>
    <xf numFmtId="0" fontId="71" fillId="0" borderId="0" xfId="0" applyFont="1" applyAlignment="1">
      <alignment horizontal="left" vertical="center" justifyLastLine="1"/>
    </xf>
    <xf numFmtId="0" fontId="71" fillId="0" borderId="0" xfId="0" applyFont="1" applyAlignment="1">
      <alignment horizontal="distributed" vertical="center" justifyLastLine="1"/>
    </xf>
    <xf numFmtId="0" fontId="71" fillId="0" borderId="18" xfId="0" applyFont="1" applyBorder="1" applyAlignment="1">
      <alignment horizontal="distributed" vertical="center" justifyLastLine="1"/>
    </xf>
    <xf numFmtId="38" fontId="71" fillId="0" borderId="19" xfId="2" applyFont="1" applyFill="1" applyBorder="1" applyAlignment="1">
      <alignment horizontal="right" vertical="center" shrinkToFit="1"/>
    </xf>
    <xf numFmtId="0" fontId="72" fillId="0" borderId="0" xfId="0" applyFont="1" applyAlignment="1">
      <alignment vertical="center"/>
    </xf>
    <xf numFmtId="0" fontId="9" fillId="0" borderId="0" xfId="0" applyFont="1" applyAlignment="1">
      <alignment vertical="center" shrinkToFit="1"/>
    </xf>
    <xf numFmtId="38" fontId="9" fillId="0" borderId="19" xfId="2" applyFont="1" applyFill="1" applyBorder="1" applyAlignment="1">
      <alignment vertical="center" shrinkToFit="1"/>
    </xf>
    <xf numFmtId="0" fontId="9" fillId="0" borderId="0" xfId="0" quotePrefix="1" applyFont="1" applyAlignment="1">
      <alignment horizontal="center" vertical="center" shrinkToFit="1"/>
    </xf>
    <xf numFmtId="0" fontId="9" fillId="0" borderId="18" xfId="0" applyFont="1" applyBorder="1" applyAlignment="1">
      <alignment horizontal="distributed" vertical="center"/>
    </xf>
    <xf numFmtId="38" fontId="9" fillId="0" borderId="0" xfId="2" applyFont="1" applyFill="1" applyBorder="1" applyAlignment="1">
      <alignment vertical="center" shrinkToFit="1"/>
    </xf>
    <xf numFmtId="38" fontId="9" fillId="0" borderId="18" xfId="2" applyFont="1" applyFill="1" applyBorder="1" applyAlignment="1">
      <alignment vertical="center" shrinkToFit="1"/>
    </xf>
    <xf numFmtId="0" fontId="9" fillId="0" borderId="94" xfId="0" quotePrefix="1" applyFont="1" applyBorder="1" applyAlignment="1">
      <alignment horizontal="center" vertical="center" shrinkToFit="1"/>
    </xf>
    <xf numFmtId="0" fontId="9" fillId="0" borderId="95" xfId="0" applyFont="1" applyBorder="1" applyAlignment="1">
      <alignment horizontal="distributed" vertical="center"/>
    </xf>
    <xf numFmtId="38" fontId="9" fillId="0" borderId="96" xfId="2" applyFont="1" applyFill="1" applyBorder="1" applyAlignment="1">
      <alignment vertical="center" shrinkToFit="1"/>
    </xf>
    <xf numFmtId="38" fontId="9" fillId="0" borderId="94" xfId="2" applyFont="1" applyFill="1" applyBorder="1" applyAlignment="1">
      <alignment vertical="center" shrinkToFit="1"/>
    </xf>
    <xf numFmtId="38" fontId="9" fillId="0" borderId="95" xfId="2" applyFont="1" applyFill="1" applyBorder="1" applyAlignment="1">
      <alignment vertical="center" shrinkToFit="1"/>
    </xf>
    <xf numFmtId="0" fontId="9" fillId="0" borderId="94" xfId="0" applyFont="1" applyBorder="1" applyAlignment="1">
      <alignment vertical="center" shrinkToFit="1"/>
    </xf>
    <xf numFmtId="0" fontId="9" fillId="0" borderId="59" xfId="0" applyFont="1" applyBorder="1" applyAlignment="1">
      <alignment vertical="center" shrinkToFit="1"/>
    </xf>
    <xf numFmtId="0" fontId="9" fillId="0" borderId="59" xfId="0" applyFont="1" applyBorder="1" applyAlignment="1">
      <alignment vertical="center"/>
    </xf>
    <xf numFmtId="0" fontId="9" fillId="0" borderId="60" xfId="0" applyFont="1" applyBorder="1" applyAlignment="1">
      <alignment horizontal="distributed" vertical="center"/>
    </xf>
    <xf numFmtId="38" fontId="9" fillId="0" borderId="61" xfId="2" applyFont="1" applyFill="1" applyBorder="1" applyAlignment="1">
      <alignment vertical="center" shrinkToFit="1"/>
    </xf>
    <xf numFmtId="38" fontId="9" fillId="0" borderId="59" xfId="2" applyFont="1" applyFill="1" applyBorder="1" applyAlignment="1">
      <alignment vertical="center" shrinkToFit="1"/>
    </xf>
    <xf numFmtId="0" fontId="9" fillId="0" borderId="79" xfId="0" applyFont="1" applyBorder="1" applyAlignment="1">
      <alignment vertical="center" shrinkToFit="1"/>
    </xf>
    <xf numFmtId="38" fontId="9" fillId="0" borderId="73" xfId="2" applyFont="1" applyFill="1" applyBorder="1" applyAlignment="1">
      <alignment vertical="center" shrinkToFit="1"/>
    </xf>
    <xf numFmtId="38" fontId="9" fillId="0" borderId="74" xfId="2" applyFont="1" applyFill="1" applyBorder="1" applyAlignment="1">
      <alignment vertical="center" shrinkToFit="1"/>
    </xf>
    <xf numFmtId="0" fontId="9" fillId="0" borderId="18" xfId="0" applyFont="1" applyBorder="1" applyAlignment="1">
      <alignment horizontal="distributed" vertical="center" shrinkToFit="1"/>
    </xf>
    <xf numFmtId="38" fontId="9" fillId="0" borderId="5" xfId="2" applyFont="1" applyFill="1" applyBorder="1" applyAlignment="1">
      <alignment vertical="center" shrinkToFit="1"/>
    </xf>
    <xf numFmtId="0" fontId="71" fillId="0" borderId="0" xfId="0" applyFont="1" applyAlignment="1">
      <alignment vertical="center"/>
    </xf>
    <xf numFmtId="38" fontId="71" fillId="0" borderId="28" xfId="2" applyFont="1" applyFill="1" applyBorder="1" applyAlignment="1">
      <alignment horizontal="right" vertical="center"/>
    </xf>
    <xf numFmtId="38" fontId="9" fillId="0" borderId="20" xfId="2" applyFont="1" applyFill="1" applyBorder="1" applyAlignment="1">
      <alignment vertical="center" shrinkToFit="1"/>
    </xf>
    <xf numFmtId="38" fontId="9" fillId="0" borderId="18" xfId="0" applyNumberFormat="1" applyFont="1" applyBorder="1" applyAlignment="1">
      <alignment vertical="center" shrinkToFit="1"/>
    </xf>
    <xf numFmtId="38" fontId="9" fillId="0" borderId="97" xfId="2" applyFont="1" applyFill="1" applyBorder="1" applyAlignment="1">
      <alignment vertical="center" shrinkToFit="1"/>
    </xf>
    <xf numFmtId="0" fontId="20" fillId="0" borderId="0" xfId="0" applyFont="1" applyAlignment="1">
      <alignment vertical="center"/>
    </xf>
    <xf numFmtId="0" fontId="7" fillId="0" borderId="81" xfId="0" applyFont="1" applyBorder="1" applyAlignment="1">
      <alignment horizontal="distributed" vertical="center"/>
    </xf>
    <xf numFmtId="38" fontId="7" fillId="0" borderId="2" xfId="2" applyFont="1" applyBorder="1" applyAlignment="1">
      <alignment horizontal="center" vertical="center" wrapText="1"/>
    </xf>
    <xf numFmtId="38" fontId="7" fillId="0" borderId="2" xfId="2" applyFont="1" applyBorder="1" applyAlignment="1">
      <alignment horizontal="center" vertical="center"/>
    </xf>
    <xf numFmtId="38" fontId="7" fillId="0" borderId="90" xfId="2" applyFont="1" applyBorder="1" applyAlignment="1">
      <alignment horizontal="center" vertical="center"/>
    </xf>
    <xf numFmtId="0" fontId="7" fillId="0" borderId="41" xfId="0" applyFont="1" applyBorder="1" applyAlignment="1">
      <alignment horizontal="center" vertical="center"/>
    </xf>
    <xf numFmtId="38" fontId="7" fillId="0" borderId="86" xfId="2" applyFont="1" applyBorder="1" applyAlignment="1">
      <alignment horizontal="center" vertical="center"/>
    </xf>
    <xf numFmtId="38" fontId="7" fillId="0" borderId="19" xfId="2" applyFont="1" applyBorder="1" applyAlignment="1">
      <alignment horizontal="right" vertical="center" indent="1"/>
    </xf>
    <xf numFmtId="2" fontId="7" fillId="0" borderId="86" xfId="0" applyNumberFormat="1" applyFont="1" applyBorder="1" applyAlignment="1">
      <alignment horizontal="center" vertical="center"/>
    </xf>
    <xf numFmtId="0" fontId="7" fillId="0" borderId="45" xfId="0" applyFont="1" applyBorder="1" applyAlignment="1">
      <alignment horizontal="center" vertical="center"/>
    </xf>
    <xf numFmtId="0" fontId="7" fillId="0" borderId="0" xfId="0" quotePrefix="1" applyFont="1" applyAlignment="1">
      <alignment horizontal="left" vertical="center"/>
    </xf>
    <xf numFmtId="38" fontId="73" fillId="0" borderId="0" xfId="2" applyFont="1" applyAlignment="1">
      <alignment vertical="center"/>
    </xf>
    <xf numFmtId="0" fontId="73" fillId="0" borderId="0" xfId="0" applyFont="1" applyAlignment="1">
      <alignment vertical="center"/>
    </xf>
    <xf numFmtId="38" fontId="7" fillId="0" borderId="19" xfId="2" applyFont="1" applyFill="1" applyBorder="1" applyAlignment="1">
      <alignment horizontal="right" vertical="center" indent="1"/>
    </xf>
    <xf numFmtId="2" fontId="7" fillId="0" borderId="86" xfId="0" applyNumberFormat="1" applyFont="1" applyFill="1" applyBorder="1" applyAlignment="1">
      <alignment horizontal="center" vertical="center"/>
    </xf>
    <xf numFmtId="38" fontId="7" fillId="0" borderId="21" xfId="2" applyFont="1" applyFill="1" applyBorder="1" applyAlignment="1">
      <alignment horizontal="right" vertical="center" indent="1"/>
    </xf>
    <xf numFmtId="2" fontId="7" fillId="0" borderId="87" xfId="0" applyNumberFormat="1" applyFont="1" applyFill="1" applyBorder="1" applyAlignment="1">
      <alignment horizontal="center" vertical="center"/>
    </xf>
    <xf numFmtId="0" fontId="6" fillId="0" borderId="0" xfId="0" applyFont="1" applyAlignment="1">
      <alignment vertical="center"/>
    </xf>
    <xf numFmtId="0" fontId="7" fillId="0" borderId="0" xfId="0" applyFont="1" applyAlignment="1">
      <alignment horizontal="right"/>
    </xf>
    <xf numFmtId="0" fontId="7" fillId="0" borderId="24" xfId="0" applyFont="1" applyBorder="1" applyAlignment="1">
      <alignment horizontal="centerContinuous" vertical="center"/>
    </xf>
    <xf numFmtId="0" fontId="7" fillId="0" borderId="17" xfId="0" applyFont="1" applyBorder="1" applyAlignment="1">
      <alignment horizontal="centerContinuous" vertical="center"/>
    </xf>
    <xf numFmtId="194" fontId="7" fillId="0" borderId="0" xfId="0" applyNumberFormat="1" applyFont="1" applyAlignment="1">
      <alignment vertical="center"/>
    </xf>
    <xf numFmtId="0" fontId="7" fillId="0" borderId="26" xfId="0" applyFont="1" applyBorder="1" applyAlignment="1">
      <alignment horizontal="centerContinuous" vertical="center"/>
    </xf>
    <xf numFmtId="0" fontId="7" fillId="0" borderId="32" xfId="0" applyFont="1" applyBorder="1" applyAlignment="1">
      <alignment horizontal="centerContinuous" vertical="center"/>
    </xf>
    <xf numFmtId="0" fontId="7" fillId="0" borderId="34" xfId="0" applyFont="1" applyBorder="1" applyAlignment="1">
      <alignment horizontal="centerContinuous" vertical="center"/>
    </xf>
    <xf numFmtId="0" fontId="7" fillId="0" borderId="28" xfId="0" applyFont="1" applyBorder="1" applyAlignment="1">
      <alignment horizontal="center" vertical="center"/>
    </xf>
    <xf numFmtId="179" fontId="7" fillId="0" borderId="28" xfId="2" applyNumberFormat="1" applyFont="1" applyBorder="1" applyAlignment="1">
      <alignment vertical="center"/>
    </xf>
    <xf numFmtId="179" fontId="7" fillId="0" borderId="26" xfId="2" applyNumberFormat="1" applyFont="1" applyBorder="1" applyAlignment="1">
      <alignment vertical="center"/>
    </xf>
    <xf numFmtId="0" fontId="7" fillId="0" borderId="19" xfId="0" applyFont="1" applyBorder="1" applyAlignment="1">
      <alignment horizontal="center" vertical="center"/>
    </xf>
    <xf numFmtId="179" fontId="7" fillId="0" borderId="19" xfId="0" applyNumberFormat="1" applyFont="1" applyBorder="1"/>
    <xf numFmtId="179" fontId="7" fillId="0" borderId="20" xfId="0" applyNumberFormat="1" applyFont="1" applyBorder="1"/>
    <xf numFmtId="179" fontId="7" fillId="0" borderId="19" xfId="0" applyNumberFormat="1" applyFont="1" applyBorder="1" applyAlignment="1">
      <alignment horizontal="right"/>
    </xf>
    <xf numFmtId="0" fontId="7" fillId="0" borderId="31" xfId="0" applyFont="1" applyBorder="1" applyAlignment="1">
      <alignment horizontal="center" vertical="center"/>
    </xf>
    <xf numFmtId="179" fontId="7" fillId="0" borderId="31" xfId="0" applyNumberFormat="1" applyFont="1" applyBorder="1"/>
    <xf numFmtId="179" fontId="7" fillId="0" borderId="30" xfId="0" applyNumberFormat="1" applyFont="1" applyBorder="1"/>
    <xf numFmtId="179" fontId="7" fillId="0" borderId="31" xfId="0" applyNumberFormat="1" applyFont="1" applyBorder="1" applyAlignment="1">
      <alignment horizontal="right"/>
    </xf>
    <xf numFmtId="179" fontId="7" fillId="0" borderId="30" xfId="0" applyNumberFormat="1" applyFont="1" applyBorder="1" applyAlignment="1">
      <alignment horizontal="right"/>
    </xf>
    <xf numFmtId="179" fontId="7" fillId="0" borderId="28" xfId="2" applyNumberFormat="1" applyFont="1" applyBorder="1" applyAlignment="1">
      <alignment horizontal="right" vertical="center"/>
    </xf>
    <xf numFmtId="179" fontId="7" fillId="0" borderId="20" xfId="0" applyNumberFormat="1" applyFont="1" applyBorder="1" applyAlignment="1">
      <alignment horizontal="right" vertical="center"/>
    </xf>
    <xf numFmtId="194" fontId="21" fillId="0" borderId="0" xfId="1" applyNumberFormat="1" applyFont="1" applyAlignment="1">
      <alignment horizontal="right" vertical="center"/>
    </xf>
    <xf numFmtId="179" fontId="7" fillId="0" borderId="19" xfId="2" applyNumberFormat="1" applyFont="1" applyBorder="1" applyAlignment="1">
      <alignment vertical="center"/>
    </xf>
    <xf numFmtId="179" fontId="7" fillId="0" borderId="18" xfId="0" applyNumberFormat="1" applyFont="1" applyBorder="1" applyAlignment="1">
      <alignment vertical="center"/>
    </xf>
    <xf numFmtId="179" fontId="7" fillId="0" borderId="19" xfId="0" applyNumberFormat="1" applyFont="1" applyBorder="1" applyAlignment="1">
      <alignment vertical="center"/>
    </xf>
    <xf numFmtId="179" fontId="7" fillId="0" borderId="20" xfId="0" applyNumberFormat="1" applyFont="1" applyBorder="1" applyAlignment="1">
      <alignment vertical="center"/>
    </xf>
    <xf numFmtId="179" fontId="7" fillId="0" borderId="19" xfId="0" applyNumberFormat="1" applyFont="1" applyBorder="1" applyAlignment="1">
      <alignment horizontal="right" vertical="center"/>
    </xf>
    <xf numFmtId="179" fontId="7" fillId="0" borderId="20" xfId="2" applyNumberFormat="1" applyFont="1" applyBorder="1" applyAlignment="1">
      <alignment vertical="center"/>
    </xf>
    <xf numFmtId="179" fontId="7" fillId="0" borderId="31" xfId="2" applyNumberFormat="1" applyFont="1" applyBorder="1" applyAlignment="1">
      <alignment vertical="center"/>
    </xf>
    <xf numFmtId="179" fontId="7" fillId="0" borderId="29" xfId="0" applyNumberFormat="1" applyFont="1" applyBorder="1" applyAlignment="1">
      <alignment vertical="center"/>
    </xf>
    <xf numFmtId="179" fontId="7" fillId="0" borderId="31" xfId="0" applyNumberFormat="1" applyFont="1" applyBorder="1" applyAlignment="1">
      <alignment vertical="center"/>
    </xf>
    <xf numFmtId="179" fontId="7" fillId="0" borderId="30" xfId="0" applyNumberFormat="1" applyFont="1" applyBorder="1" applyAlignment="1">
      <alignment vertical="center"/>
    </xf>
    <xf numFmtId="179" fontId="7" fillId="0" borderId="31" xfId="0" applyNumberFormat="1" applyFont="1" applyBorder="1" applyAlignment="1">
      <alignment horizontal="right" vertical="center"/>
    </xf>
    <xf numFmtId="179" fontId="7" fillId="0" borderId="30" xfId="2" applyNumberFormat="1" applyFont="1" applyBorder="1" applyAlignment="1">
      <alignment horizontal="right" vertical="center"/>
    </xf>
    <xf numFmtId="194" fontId="6" fillId="0" borderId="0" xfId="0" applyNumberFormat="1" applyFont="1" applyAlignment="1">
      <alignment vertical="center"/>
    </xf>
    <xf numFmtId="0" fontId="7" fillId="0" borderId="21" xfId="0" applyFont="1" applyBorder="1" applyAlignment="1">
      <alignment horizontal="center" vertical="center"/>
    </xf>
    <xf numFmtId="3" fontId="21" fillId="0" borderId="0" xfId="1" applyNumberFormat="1" applyFont="1" applyAlignment="1">
      <alignment horizontal="right" vertical="center"/>
    </xf>
    <xf numFmtId="0" fontId="34" fillId="0" borderId="0" xfId="0" applyFont="1" applyAlignment="1">
      <alignment vertical="center"/>
    </xf>
    <xf numFmtId="179" fontId="7" fillId="0" borderId="19" xfId="2" applyNumberFormat="1" applyFont="1" applyFill="1" applyBorder="1" applyAlignment="1">
      <alignment vertical="center"/>
    </xf>
    <xf numFmtId="179" fontId="7" fillId="0" borderId="28" xfId="2" applyNumberFormat="1" applyFont="1" applyFill="1" applyBorder="1" applyAlignment="1">
      <alignment horizontal="center" vertical="center"/>
    </xf>
    <xf numFmtId="179" fontId="7" fillId="0" borderId="20" xfId="2" applyNumberFormat="1" applyFont="1" applyFill="1" applyBorder="1" applyAlignment="1">
      <alignment vertical="center"/>
    </xf>
    <xf numFmtId="179" fontId="7" fillId="0" borderId="18" xfId="0" applyNumberFormat="1" applyFont="1" applyFill="1" applyBorder="1" applyAlignment="1">
      <alignment vertical="center"/>
    </xf>
    <xf numFmtId="179" fontId="7" fillId="0" borderId="19" xfId="0" applyNumberFormat="1" applyFont="1" applyFill="1" applyBorder="1" applyAlignment="1">
      <alignment vertical="center"/>
    </xf>
    <xf numFmtId="179" fontId="7" fillId="0" borderId="20" xfId="0" applyNumberFormat="1" applyFont="1" applyFill="1" applyBorder="1" applyAlignment="1">
      <alignment vertical="center"/>
    </xf>
    <xf numFmtId="179" fontId="7" fillId="0" borderId="19" xfId="2" applyNumberFormat="1" applyFont="1" applyFill="1" applyBorder="1" applyAlignment="1">
      <alignment horizontal="center" vertical="center"/>
    </xf>
    <xf numFmtId="179" fontId="7" fillId="0" borderId="19" xfId="0" applyNumberFormat="1" applyFont="1" applyFill="1" applyBorder="1" applyAlignment="1">
      <alignment horizontal="right" vertical="center"/>
    </xf>
    <xf numFmtId="179" fontId="7" fillId="0" borderId="19" xfId="0" applyNumberFormat="1" applyFont="1" applyFill="1" applyBorder="1" applyAlignment="1">
      <alignment horizontal="center" vertical="center"/>
    </xf>
    <xf numFmtId="179" fontId="7" fillId="0" borderId="21" xfId="2" applyNumberFormat="1" applyFont="1" applyFill="1" applyBorder="1" applyAlignment="1">
      <alignment vertical="center"/>
    </xf>
    <xf numFmtId="179" fontId="7" fillId="0" borderId="11" xfId="0" applyNumberFormat="1" applyFont="1" applyFill="1" applyBorder="1" applyAlignment="1">
      <alignment vertical="center"/>
    </xf>
    <xf numFmtId="179" fontId="7" fillId="0" borderId="21" xfId="0" applyNumberFormat="1" applyFont="1" applyFill="1" applyBorder="1" applyAlignment="1">
      <alignment vertical="center"/>
    </xf>
    <xf numFmtId="179" fontId="7" fillId="0" borderId="12" xfId="0" applyNumberFormat="1" applyFont="1" applyFill="1" applyBorder="1" applyAlignment="1">
      <alignment vertical="center"/>
    </xf>
    <xf numFmtId="179" fontId="7" fillId="0" borderId="21" xfId="2" applyNumberFormat="1" applyFont="1" applyFill="1" applyBorder="1" applyAlignment="1">
      <alignment horizontal="center" vertical="center"/>
    </xf>
    <xf numFmtId="179" fontId="7" fillId="0" borderId="21" xfId="0" applyNumberFormat="1" applyFont="1" applyFill="1" applyBorder="1" applyAlignment="1">
      <alignment horizontal="right" vertical="center"/>
    </xf>
    <xf numFmtId="179" fontId="7" fillId="0" borderId="21" xfId="0" applyNumberFormat="1" applyFont="1" applyFill="1" applyBorder="1" applyAlignment="1">
      <alignment horizontal="center" vertical="center"/>
    </xf>
    <xf numFmtId="179" fontId="7" fillId="0" borderId="12" xfId="2" applyNumberFormat="1" applyFont="1" applyFill="1" applyBorder="1" applyAlignment="1">
      <alignment horizontal="right" vertical="center"/>
    </xf>
    <xf numFmtId="0" fontId="7" fillId="0" borderId="28"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0" xfId="0" applyFont="1" applyAlignment="1">
      <alignment horizontal="center" vertical="center"/>
    </xf>
    <xf numFmtId="195" fontId="7" fillId="0" borderId="20" xfId="2" applyNumberFormat="1" applyFont="1" applyBorder="1" applyAlignment="1">
      <alignment horizontal="right" vertical="center"/>
    </xf>
    <xf numFmtId="195" fontId="7" fillId="0" borderId="0" xfId="2" applyNumberFormat="1" applyFont="1" applyBorder="1" applyAlignment="1">
      <alignment horizontal="right" vertical="center"/>
    </xf>
    <xf numFmtId="195" fontId="9" fillId="0" borderId="0" xfId="2" applyNumberFormat="1" applyFont="1" applyBorder="1" applyAlignment="1">
      <alignment horizontal="right" vertical="center"/>
    </xf>
    <xf numFmtId="195" fontId="7" fillId="0" borderId="18" xfId="2" applyNumberFormat="1" applyFont="1" applyBorder="1" applyAlignment="1">
      <alignment horizontal="right" vertical="center"/>
    </xf>
    <xf numFmtId="0" fontId="7" fillId="0" borderId="18" xfId="0" applyFont="1" applyBorder="1" applyAlignment="1">
      <alignment horizontal="center" vertical="center"/>
    </xf>
    <xf numFmtId="0" fontId="7" fillId="0" borderId="10" xfId="0" applyFont="1" applyBorder="1" applyAlignment="1">
      <alignment horizontal="center" vertical="center"/>
    </xf>
    <xf numFmtId="195" fontId="7" fillId="0" borderId="12" xfId="2" applyNumberFormat="1" applyFont="1" applyBorder="1" applyAlignment="1">
      <alignment horizontal="right" vertical="center"/>
    </xf>
    <xf numFmtId="195" fontId="7" fillId="0" borderId="10" xfId="2" applyNumberFormat="1" applyFont="1" applyBorder="1" applyAlignment="1">
      <alignment horizontal="right" vertical="center"/>
    </xf>
    <xf numFmtId="195" fontId="9" fillId="0" borderId="10" xfId="2" applyNumberFormat="1" applyFont="1" applyBorder="1" applyAlignment="1">
      <alignment horizontal="right" vertical="center"/>
    </xf>
    <xf numFmtId="195" fontId="7" fillId="0" borderId="11" xfId="2" applyNumberFormat="1" applyFont="1" applyBorder="1" applyAlignment="1">
      <alignment horizontal="right"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 xfId="0" applyFont="1" applyBorder="1" applyAlignment="1">
      <alignment horizontal="center" vertical="center" wrapText="1"/>
    </xf>
    <xf numFmtId="182" fontId="7" fillId="0" borderId="20" xfId="2" applyNumberFormat="1" applyFont="1" applyBorder="1" applyAlignment="1">
      <alignment horizontal="center" vertical="center"/>
    </xf>
    <xf numFmtId="0" fontId="7" fillId="0" borderId="11" xfId="0" applyFont="1" applyBorder="1" applyAlignment="1">
      <alignment horizontal="center" vertical="center"/>
    </xf>
    <xf numFmtId="182" fontId="7" fillId="0" borderId="21" xfId="2" applyNumberFormat="1" applyFont="1" applyBorder="1" applyAlignment="1">
      <alignment horizontal="center" vertical="center"/>
    </xf>
    <xf numFmtId="182" fontId="7" fillId="0" borderId="10" xfId="2" applyNumberFormat="1" applyFont="1" applyBorder="1" applyAlignment="1">
      <alignment horizontal="center" vertical="center"/>
    </xf>
    <xf numFmtId="182" fontId="7" fillId="0" borderId="12" xfId="2" applyNumberFormat="1" applyFont="1" applyBorder="1" applyAlignment="1">
      <alignment horizontal="center" vertical="center"/>
    </xf>
    <xf numFmtId="0" fontId="7" fillId="0" borderId="17" xfId="0" applyFont="1" applyBorder="1" applyAlignment="1">
      <alignment vertical="center"/>
    </xf>
    <xf numFmtId="0" fontId="7" fillId="0" borderId="3" xfId="0" applyFont="1" applyFill="1" applyBorder="1" applyAlignment="1">
      <alignment horizontal="center" vertical="center" wrapText="1"/>
    </xf>
    <xf numFmtId="182" fontId="7" fillId="0" borderId="20" xfId="2" applyNumberFormat="1" applyFont="1" applyFill="1" applyBorder="1" applyAlignment="1">
      <alignment horizontal="center" vertical="center"/>
    </xf>
    <xf numFmtId="182" fontId="7" fillId="0" borderId="12" xfId="2" applyNumberFormat="1" applyFont="1" applyFill="1" applyBorder="1" applyAlignment="1">
      <alignment horizontal="center" vertical="center"/>
    </xf>
    <xf numFmtId="0" fontId="3" fillId="0" borderId="10" xfId="0" applyFont="1" applyBorder="1" applyAlignment="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0" borderId="10" xfId="0" applyFont="1" applyFill="1" applyBorder="1" applyAlignment="1">
      <alignment vertical="center"/>
    </xf>
    <xf numFmtId="0" fontId="3" fillId="0" borderId="0" xfId="0" applyFont="1" applyFill="1" applyAlignment="1">
      <alignment horizontal="left" vertical="center"/>
    </xf>
    <xf numFmtId="0" fontId="6" fillId="0" borderId="0" xfId="0" applyFont="1" applyFill="1" applyAlignment="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xf>
    <xf numFmtId="0" fontId="7" fillId="0" borderId="6" xfId="0" applyFont="1" applyFill="1" applyBorder="1" applyAlignment="1">
      <alignment horizontal="center" vertical="center"/>
    </xf>
    <xf numFmtId="0" fontId="7" fillId="0" borderId="34" xfId="0" applyFont="1" applyFill="1" applyBorder="1" applyAlignment="1">
      <alignment horizontal="distributed" vertical="center"/>
    </xf>
    <xf numFmtId="38" fontId="7" fillId="0" borderId="5" xfId="2" applyFont="1" applyFill="1" applyBorder="1" applyAlignment="1">
      <alignment vertical="center"/>
    </xf>
    <xf numFmtId="183" fontId="7" fillId="0" borderId="34" xfId="0" applyNumberFormat="1" applyFont="1" applyFill="1" applyBorder="1" applyAlignment="1">
      <alignment vertical="center"/>
    </xf>
    <xf numFmtId="183" fontId="7" fillId="0" borderId="6" xfId="0" applyNumberFormat="1" applyFont="1" applyFill="1" applyBorder="1" applyAlignment="1">
      <alignment vertical="center"/>
    </xf>
    <xf numFmtId="0" fontId="7" fillId="0" borderId="4" xfId="0" applyFont="1" applyFill="1" applyBorder="1" applyAlignment="1">
      <alignment horizontal="distributed" vertical="center"/>
    </xf>
    <xf numFmtId="190" fontId="7" fillId="0" borderId="6" xfId="2" applyNumberFormat="1" applyFont="1" applyFill="1" applyBorder="1" applyAlignment="1">
      <alignment horizontal="right" vertical="center"/>
    </xf>
    <xf numFmtId="190" fontId="7" fillId="0" borderId="0" xfId="2" applyNumberFormat="1" applyFont="1" applyFill="1" applyBorder="1" applyAlignment="1">
      <alignment horizontal="right" vertical="center"/>
    </xf>
    <xf numFmtId="0" fontId="28" fillId="0" borderId="34" xfId="0" applyFont="1" applyFill="1" applyBorder="1" applyAlignment="1">
      <alignment horizontal="distributed" vertical="center"/>
    </xf>
    <xf numFmtId="183" fontId="7" fillId="0" borderId="6" xfId="0" applyNumberFormat="1" applyFont="1" applyFill="1" applyBorder="1" applyAlignment="1">
      <alignment horizontal="right" vertical="center"/>
    </xf>
    <xf numFmtId="183" fontId="7" fillId="0" borderId="0" xfId="0" applyNumberFormat="1" applyFont="1" applyFill="1" applyAlignment="1">
      <alignment horizontal="right" vertical="center"/>
    </xf>
    <xf numFmtId="38" fontId="7" fillId="0" borderId="5" xfId="2" applyFont="1" applyFill="1" applyBorder="1" applyAlignment="1">
      <alignment horizontal="right" vertical="center"/>
    </xf>
    <xf numFmtId="0" fontId="28" fillId="0" borderId="4" xfId="0" applyFont="1" applyFill="1" applyBorder="1" applyAlignment="1">
      <alignment horizontal="distributed" vertical="center"/>
    </xf>
    <xf numFmtId="0" fontId="7" fillId="0" borderId="7" xfId="0" applyFont="1" applyFill="1" applyBorder="1" applyAlignment="1">
      <alignment horizontal="distributed" vertical="center"/>
    </xf>
    <xf numFmtId="190" fontId="7" fillId="0" borderId="8" xfId="2" applyNumberFormat="1" applyFont="1" applyFill="1" applyBorder="1" applyAlignment="1">
      <alignment horizontal="right" vertical="center"/>
    </xf>
    <xf numFmtId="183" fontId="7" fillId="0" borderId="9" xfId="0" applyNumberFormat="1" applyFont="1" applyFill="1" applyBorder="1" applyAlignment="1">
      <alignment horizontal="right" vertical="center"/>
    </xf>
    <xf numFmtId="0" fontId="7" fillId="0" borderId="0" xfId="0" applyFont="1" applyFill="1" applyAlignment="1">
      <alignment horizontal="left" vertical="center"/>
    </xf>
    <xf numFmtId="38" fontId="7" fillId="0" borderId="17" xfId="2" applyFont="1" applyFill="1" applyBorder="1" applyAlignment="1">
      <alignment horizontal="right" vertical="center"/>
    </xf>
    <xf numFmtId="183" fontId="7" fillId="0" borderId="17" xfId="0" applyNumberFormat="1" applyFont="1" applyFill="1" applyBorder="1" applyAlignment="1">
      <alignment vertical="center"/>
    </xf>
    <xf numFmtId="0" fontId="7" fillId="0" borderId="0" xfId="0" applyFont="1" applyFill="1" applyAlignment="1">
      <alignment horizontal="distributed" vertical="center"/>
    </xf>
    <xf numFmtId="0" fontId="3" fillId="0" borderId="10" xfId="0" applyFont="1" applyFill="1" applyBorder="1" applyAlignment="1">
      <alignment horizontal="left" vertical="center"/>
    </xf>
    <xf numFmtId="183" fontId="7" fillId="0" borderId="6" xfId="2" applyNumberFormat="1" applyFont="1" applyFill="1" applyBorder="1" applyAlignment="1">
      <alignment horizontal="right" vertical="center"/>
    </xf>
    <xf numFmtId="0" fontId="7" fillId="0" borderId="0" xfId="0" applyFont="1" applyFill="1" applyAlignment="1">
      <alignment horizontal="left"/>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18" xfId="0" applyFont="1" applyBorder="1" applyAlignment="1">
      <alignment horizontal="right" vertical="center"/>
    </xf>
    <xf numFmtId="0" fontId="7" fillId="0" borderId="0" xfId="0" applyFont="1" applyAlignment="1">
      <alignment horizontal="right" vertical="center"/>
    </xf>
    <xf numFmtId="0" fontId="7" fillId="0" borderId="20" xfId="0" applyFont="1" applyBorder="1" applyAlignment="1">
      <alignment horizontal="right" vertical="center"/>
    </xf>
    <xf numFmtId="38" fontId="7" fillId="0" borderId="0" xfId="2" applyFont="1" applyFill="1" applyAlignment="1">
      <alignment horizontal="right" vertical="center"/>
    </xf>
    <xf numFmtId="0" fontId="7" fillId="0" borderId="19" xfId="0" applyFont="1" applyBorder="1" applyAlignment="1">
      <alignment horizontal="right" vertical="center"/>
    </xf>
    <xf numFmtId="38" fontId="7" fillId="0" borderId="12" xfId="2" applyFont="1" applyFill="1" applyBorder="1" applyAlignment="1">
      <alignment horizontal="right" vertical="center"/>
    </xf>
    <xf numFmtId="0" fontId="7" fillId="0" borderId="29" xfId="0" applyFont="1" applyFill="1" applyBorder="1" applyAlignment="1">
      <alignment horizontal="center" vertical="center"/>
    </xf>
    <xf numFmtId="0" fontId="7" fillId="0" borderId="33" xfId="0" applyFont="1" applyFill="1" applyBorder="1" applyAlignment="1">
      <alignment horizontal="center" vertical="center"/>
    </xf>
    <xf numFmtId="0" fontId="0" fillId="0" borderId="0" xfId="0" applyFill="1"/>
    <xf numFmtId="0" fontId="7" fillId="0" borderId="18" xfId="0" applyFont="1" applyFill="1" applyBorder="1" applyAlignment="1">
      <alignment vertical="center"/>
    </xf>
    <xf numFmtId="0" fontId="7" fillId="0" borderId="18" xfId="0" applyFont="1" applyFill="1" applyBorder="1" applyAlignment="1">
      <alignment horizontal="right" vertical="center"/>
    </xf>
    <xf numFmtId="0" fontId="7" fillId="0" borderId="0" xfId="0" applyFont="1" applyFill="1" applyAlignment="1">
      <alignment horizontal="right" vertical="center"/>
    </xf>
    <xf numFmtId="3" fontId="0" fillId="0" borderId="0" xfId="0" applyNumberFormat="1" applyFill="1"/>
    <xf numFmtId="0" fontId="7" fillId="0" borderId="18" xfId="0" applyFont="1" applyFill="1" applyBorder="1" applyAlignment="1">
      <alignment horizontal="distributed" vertical="center"/>
    </xf>
    <xf numFmtId="0" fontId="7" fillId="0" borderId="21" xfId="0" applyFont="1" applyFill="1" applyBorder="1" applyAlignment="1">
      <alignment horizontal="right" vertical="center"/>
    </xf>
    <xf numFmtId="38" fontId="7" fillId="0" borderId="0" xfId="0" applyNumberFormat="1" applyFont="1" applyFill="1" applyAlignment="1">
      <alignment vertical="center"/>
    </xf>
    <xf numFmtId="0" fontId="7" fillId="0" borderId="11" xfId="0" applyFont="1" applyFill="1" applyBorder="1" applyAlignment="1">
      <alignment horizontal="distributed" vertical="center"/>
    </xf>
    <xf numFmtId="0" fontId="7" fillId="0" borderId="17" xfId="0" applyFont="1" applyFill="1" applyBorder="1" applyAlignment="1">
      <alignment vertical="center"/>
    </xf>
    <xf numFmtId="191" fontId="7" fillId="0" borderId="19" xfId="2" applyNumberFormat="1" applyFont="1" applyFill="1" applyBorder="1" applyAlignment="1">
      <alignment vertical="center"/>
    </xf>
    <xf numFmtId="0" fontId="3" fillId="0" borderId="0" xfId="0" applyFont="1" applyFill="1" applyAlignment="1">
      <alignment vertical="center"/>
    </xf>
    <xf numFmtId="0" fontId="7" fillId="0" borderId="0" xfId="0" applyFont="1" applyFill="1" applyAlignment="1">
      <alignment horizontal="right"/>
    </xf>
    <xf numFmtId="0" fontId="28" fillId="0" borderId="29" xfId="0" applyFont="1" applyFill="1" applyBorder="1" applyAlignment="1">
      <alignment horizontal="center" vertical="center"/>
    </xf>
    <xf numFmtId="0" fontId="28" fillId="0" borderId="33" xfId="0" applyFont="1" applyFill="1" applyBorder="1" applyAlignment="1">
      <alignment horizontal="center" vertical="center"/>
    </xf>
    <xf numFmtId="0" fontId="7" fillId="0" borderId="18" xfId="0" applyFont="1" applyFill="1" applyBorder="1" applyAlignment="1">
      <alignment horizontal="center" vertical="center"/>
    </xf>
    <xf numFmtId="213" fontId="7" fillId="0" borderId="18" xfId="0" applyNumberFormat="1" applyFont="1" applyFill="1" applyBorder="1" applyAlignment="1">
      <alignment horizontal="right" vertical="center"/>
    </xf>
    <xf numFmtId="213" fontId="7" fillId="0" borderId="19" xfId="0" applyNumberFormat="1" applyFont="1" applyFill="1" applyBorder="1" applyAlignment="1">
      <alignment vertical="center"/>
    </xf>
    <xf numFmtId="213" fontId="7" fillId="0" borderId="20" xfId="0" applyNumberFormat="1" applyFont="1" applyFill="1" applyBorder="1" applyAlignment="1">
      <alignment horizontal="right" vertical="center"/>
    </xf>
    <xf numFmtId="213" fontId="7" fillId="0" borderId="19" xfId="0" applyNumberFormat="1" applyFont="1" applyFill="1" applyBorder="1" applyAlignment="1">
      <alignment horizontal="right" vertical="center"/>
    </xf>
    <xf numFmtId="213" fontId="7" fillId="0" borderId="0" xfId="0" applyNumberFormat="1" applyFont="1" applyFill="1" applyAlignment="1">
      <alignment horizontal="right" vertical="center"/>
    </xf>
    <xf numFmtId="0" fontId="7" fillId="0" borderId="0" xfId="0" applyFont="1" applyFill="1" applyAlignment="1">
      <alignment vertical="top" wrapText="1"/>
    </xf>
    <xf numFmtId="210" fontId="6" fillId="0" borderId="0" xfId="0" applyNumberFormat="1" applyFont="1" applyFill="1" applyAlignment="1">
      <alignment vertical="center"/>
    </xf>
    <xf numFmtId="0" fontId="7" fillId="0" borderId="29" xfId="0" applyFont="1" applyBorder="1" applyAlignment="1">
      <alignment horizontal="distributed" vertical="center" justifyLastLine="1"/>
    </xf>
    <xf numFmtId="0" fontId="0" fillId="0" borderId="0" xfId="0" applyAlignment="1">
      <alignment vertical="center"/>
    </xf>
    <xf numFmtId="0" fontId="7" fillId="0" borderId="5" xfId="0" applyFont="1" applyFill="1" applyBorder="1" applyAlignment="1">
      <alignment horizontal="distributed" vertical="center" justifyLastLine="1"/>
    </xf>
    <xf numFmtId="205" fontId="7" fillId="0" borderId="19" xfId="2" applyNumberFormat="1" applyFont="1" applyFill="1" applyBorder="1" applyAlignment="1">
      <alignment horizontal="center" vertical="center"/>
    </xf>
    <xf numFmtId="190" fontId="7" fillId="0" borderId="19" xfId="2" applyNumberFormat="1" applyFont="1" applyFill="1" applyBorder="1" applyAlignment="1">
      <alignment horizontal="center" vertical="center"/>
    </xf>
    <xf numFmtId="182" fontId="7" fillId="0" borderId="18" xfId="2" applyNumberFormat="1" applyFont="1" applyFill="1" applyBorder="1" applyAlignment="1">
      <alignment horizontal="center" vertical="center"/>
    </xf>
    <xf numFmtId="185" fontId="7" fillId="0" borderId="0" xfId="2" applyNumberFormat="1" applyFont="1" applyFill="1" applyAlignment="1">
      <alignment horizontal="center" vertical="center"/>
    </xf>
    <xf numFmtId="183" fontId="7" fillId="0" borderId="19" xfId="0" applyNumberFormat="1" applyFont="1" applyFill="1" applyBorder="1" applyAlignment="1">
      <alignment horizontal="center" vertical="center"/>
    </xf>
    <xf numFmtId="0" fontId="7" fillId="0" borderId="19" xfId="0" applyFont="1" applyFill="1" applyBorder="1" applyAlignment="1">
      <alignment horizontal="center" vertical="center"/>
    </xf>
    <xf numFmtId="205" fontId="7" fillId="0" borderId="19" xfId="0" applyNumberFormat="1" applyFont="1" applyFill="1" applyBorder="1" applyAlignment="1">
      <alignment horizontal="center" vertical="center"/>
    </xf>
    <xf numFmtId="185" fontId="7" fillId="0" borderId="0" xfId="2" applyNumberFormat="1" applyFont="1" applyFill="1" applyBorder="1" applyAlignment="1">
      <alignment horizontal="center" vertical="center"/>
    </xf>
    <xf numFmtId="0" fontId="7" fillId="0" borderId="11" xfId="0" applyFont="1" applyFill="1" applyBorder="1" applyAlignment="1">
      <alignment horizontal="center" vertical="center"/>
    </xf>
    <xf numFmtId="0" fontId="7" fillId="0" borderId="21" xfId="0" applyFont="1" applyFill="1" applyBorder="1" applyAlignment="1">
      <alignment horizontal="center" vertical="center"/>
    </xf>
    <xf numFmtId="205" fontId="7" fillId="0" borderId="21" xfId="0" applyNumberFormat="1" applyFont="1" applyFill="1" applyBorder="1" applyAlignment="1">
      <alignment horizontal="center" vertical="center"/>
    </xf>
    <xf numFmtId="183" fontId="7" fillId="0" borderId="21" xfId="0" applyNumberFormat="1" applyFont="1" applyFill="1" applyBorder="1" applyAlignment="1">
      <alignment horizontal="center" vertical="center"/>
    </xf>
    <xf numFmtId="182" fontId="7" fillId="0" borderId="11" xfId="2" applyNumberFormat="1" applyFont="1" applyFill="1" applyBorder="1" applyAlignment="1">
      <alignment horizontal="center" vertical="center"/>
    </xf>
    <xf numFmtId="185" fontId="7" fillId="0" borderId="10" xfId="2" applyNumberFormat="1" applyFont="1" applyFill="1" applyBorder="1" applyAlignment="1">
      <alignment horizontal="center" vertical="center"/>
    </xf>
    <xf numFmtId="0" fontId="0" fillId="0" borderId="0" xfId="0" applyFill="1" applyAlignment="1">
      <alignment vertical="center"/>
    </xf>
    <xf numFmtId="0" fontId="7" fillId="0" borderId="98" xfId="0" applyFont="1" applyBorder="1" applyAlignment="1">
      <alignment vertical="center"/>
    </xf>
    <xf numFmtId="0" fontId="7" fillId="0" borderId="22" xfId="0" applyFont="1" applyBorder="1" applyAlignment="1">
      <alignment horizontal="right" vertical="center"/>
    </xf>
    <xf numFmtId="0" fontId="7" fillId="0" borderId="33" xfId="0" applyFont="1" applyBorder="1" applyAlignment="1">
      <alignment vertical="center"/>
    </xf>
    <xf numFmtId="0" fontId="7" fillId="0" borderId="77" xfId="0" applyFont="1" applyBorder="1" applyAlignment="1">
      <alignment vertical="center"/>
    </xf>
    <xf numFmtId="192" fontId="7" fillId="0" borderId="19" xfId="0" applyNumberFormat="1" applyFont="1" applyBorder="1" applyAlignment="1">
      <alignment horizontal="center" vertical="center"/>
    </xf>
    <xf numFmtId="224" fontId="7" fillId="0" borderId="18" xfId="2" applyNumberFormat="1" applyFont="1" applyBorder="1" applyAlignment="1">
      <alignment horizontal="center" vertical="center"/>
    </xf>
    <xf numFmtId="225" fontId="7" fillId="0" borderId="20" xfId="2" applyNumberFormat="1" applyFont="1" applyBorder="1" applyAlignment="1">
      <alignment horizontal="center" vertical="center"/>
    </xf>
    <xf numFmtId="225" fontId="7" fillId="0" borderId="0" xfId="2" applyNumberFormat="1" applyFont="1" applyBorder="1" applyAlignment="1">
      <alignment horizontal="center" vertical="center"/>
    </xf>
    <xf numFmtId="225" fontId="7" fillId="0" borderId="18" xfId="2" applyNumberFormat="1" applyFont="1" applyBorder="1" applyAlignment="1">
      <alignment horizontal="center" vertical="center"/>
    </xf>
    <xf numFmtId="225" fontId="7" fillId="0" borderId="18" xfId="0" applyNumberFormat="1" applyFont="1" applyBorder="1" applyAlignment="1">
      <alignment horizontal="center" vertical="center"/>
    </xf>
    <xf numFmtId="224" fontId="7" fillId="0" borderId="20" xfId="0" applyNumberFormat="1" applyFont="1" applyBorder="1" applyAlignment="1">
      <alignment horizontal="center" vertical="center"/>
    </xf>
    <xf numFmtId="225" fontId="7" fillId="0" borderId="0" xfId="0" applyNumberFormat="1" applyFont="1" applyAlignment="1">
      <alignment horizontal="center" vertical="center"/>
    </xf>
    <xf numFmtId="224" fontId="7" fillId="0" borderId="18" xfId="0" applyNumberFormat="1" applyFont="1" applyBorder="1" applyAlignment="1">
      <alignment horizontal="center" vertical="center"/>
    </xf>
    <xf numFmtId="225" fontId="7" fillId="0" borderId="20" xfId="0" applyNumberFormat="1" applyFont="1" applyBorder="1" applyAlignment="1">
      <alignment horizontal="center" vertical="center"/>
    </xf>
    <xf numFmtId="224" fontId="7" fillId="0" borderId="20" xfId="2" applyNumberFormat="1" applyFont="1" applyBorder="1" applyAlignment="1">
      <alignment horizontal="center" vertical="center"/>
    </xf>
    <xf numFmtId="224" fontId="7" fillId="0" borderId="0" xfId="2" applyNumberFormat="1" applyFont="1" applyBorder="1" applyAlignment="1">
      <alignment horizontal="center" vertical="center"/>
    </xf>
    <xf numFmtId="192" fontId="7" fillId="0" borderId="21" xfId="0" applyNumberFormat="1" applyFont="1" applyBorder="1" applyAlignment="1">
      <alignment horizontal="center" vertical="center"/>
    </xf>
    <xf numFmtId="224" fontId="7" fillId="0" borderId="11" xfId="2" applyNumberFormat="1" applyFont="1" applyBorder="1" applyAlignment="1">
      <alignment horizontal="center" vertical="center"/>
    </xf>
    <xf numFmtId="224" fontId="7" fillId="0" borderId="12" xfId="2" applyNumberFormat="1" applyFont="1" applyBorder="1" applyAlignment="1">
      <alignment horizontal="center" vertical="center"/>
    </xf>
    <xf numFmtId="224" fontId="7" fillId="0" borderId="10" xfId="2" applyNumberFormat="1"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distributed" vertical="center" justifyLastLine="1"/>
    </xf>
    <xf numFmtId="192" fontId="7" fillId="0" borderId="18" xfId="0" applyNumberFormat="1" applyFont="1" applyBorder="1" applyAlignment="1">
      <alignment horizontal="center" vertical="center"/>
    </xf>
    <xf numFmtId="226" fontId="7" fillId="0" borderId="19" xfId="0" applyNumberFormat="1" applyFont="1" applyBorder="1" applyAlignment="1">
      <alignment vertical="center"/>
    </xf>
    <xf numFmtId="192" fontId="7" fillId="0" borderId="11" xfId="0" applyNumberFormat="1" applyFont="1" applyBorder="1" applyAlignment="1">
      <alignment horizontal="center" vertical="center"/>
    </xf>
    <xf numFmtId="226" fontId="7" fillId="0" borderId="21" xfId="0" applyNumberFormat="1" applyFont="1" applyBorder="1" applyAlignment="1">
      <alignment vertical="center"/>
    </xf>
    <xf numFmtId="225" fontId="7" fillId="0" borderId="11" xfId="2" applyNumberFormat="1" applyFont="1" applyBorder="1" applyAlignment="1">
      <alignment horizontal="center" vertical="center"/>
    </xf>
    <xf numFmtId="225" fontId="7" fillId="0" borderId="10" xfId="2" applyNumberFormat="1" applyFont="1" applyBorder="1" applyAlignment="1">
      <alignment horizontal="center" vertical="center"/>
    </xf>
    <xf numFmtId="0" fontId="7" fillId="0" borderId="13" xfId="0" applyFont="1" applyBorder="1" applyAlignment="1">
      <alignment horizontal="distributed" vertical="center"/>
    </xf>
    <xf numFmtId="192" fontId="7" fillId="0" borderId="13" xfId="0" applyNumberFormat="1" applyFont="1" applyBorder="1" applyAlignment="1">
      <alignment horizontal="center" vertical="center"/>
    </xf>
    <xf numFmtId="224" fontId="7" fillId="0" borderId="13" xfId="2" applyNumberFormat="1" applyFont="1" applyBorder="1" applyAlignment="1">
      <alignment horizontal="center" vertical="center"/>
    </xf>
    <xf numFmtId="226" fontId="7" fillId="0" borderId="0" xfId="0" applyNumberFormat="1" applyFont="1" applyAlignment="1">
      <alignment vertical="center"/>
    </xf>
    <xf numFmtId="192" fontId="7" fillId="0" borderId="0" xfId="0" applyNumberFormat="1" applyFont="1" applyAlignment="1">
      <alignment horizontal="center" vertical="center"/>
    </xf>
    <xf numFmtId="0" fontId="7" fillId="0" borderId="33" xfId="0" applyFont="1" applyBorder="1" applyAlignment="1">
      <alignment horizontal="distributed" vertical="center" justifyLastLine="1"/>
    </xf>
    <xf numFmtId="0" fontId="7" fillId="0" borderId="28" xfId="0" applyFont="1" applyBorder="1" applyAlignment="1">
      <alignment horizontal="right" vertical="center"/>
    </xf>
    <xf numFmtId="195" fontId="7" fillId="0" borderId="20" xfId="0" applyNumberFormat="1" applyFont="1" applyBorder="1" applyAlignment="1">
      <alignment horizontal="center" vertical="center"/>
    </xf>
    <xf numFmtId="226" fontId="7" fillId="0" borderId="19" xfId="0" applyNumberFormat="1" applyFont="1" applyBorder="1" applyAlignment="1">
      <alignment horizontal="center" vertical="center"/>
    </xf>
    <xf numFmtId="226" fontId="7" fillId="0" borderId="19" xfId="0" applyNumberFormat="1" applyFont="1" applyBorder="1" applyAlignment="1">
      <alignment horizontal="right" vertical="center"/>
    </xf>
    <xf numFmtId="195" fontId="7" fillId="0" borderId="0" xfId="2" applyNumberFormat="1" applyFont="1" applyBorder="1" applyAlignment="1">
      <alignment horizontal="center" vertical="center"/>
    </xf>
    <xf numFmtId="225" fontId="7" fillId="0" borderId="12" xfId="2" applyNumberFormat="1" applyFont="1" applyBorder="1" applyAlignment="1">
      <alignment horizontal="center" vertical="center"/>
    </xf>
    <xf numFmtId="226" fontId="7" fillId="0" borderId="19" xfId="0" applyNumberFormat="1" applyFont="1" applyFill="1" applyBorder="1" applyAlignment="1">
      <alignment vertical="center"/>
    </xf>
    <xf numFmtId="225" fontId="7" fillId="0" borderId="20" xfId="2" applyNumberFormat="1" applyFont="1" applyFill="1" applyBorder="1" applyAlignment="1">
      <alignment horizontal="center" vertical="center"/>
    </xf>
    <xf numFmtId="224" fontId="7" fillId="0" borderId="20" xfId="0" applyNumberFormat="1" applyFont="1" applyFill="1" applyBorder="1" applyAlignment="1">
      <alignment horizontal="center" vertical="center"/>
    </xf>
    <xf numFmtId="226" fontId="7" fillId="0" borderId="19" xfId="0" applyNumberFormat="1" applyFont="1" applyFill="1" applyBorder="1" applyAlignment="1">
      <alignment horizontal="center" vertical="center"/>
    </xf>
    <xf numFmtId="225" fontId="7" fillId="0" borderId="20" xfId="0" applyNumberFormat="1" applyFont="1" applyFill="1" applyBorder="1" applyAlignment="1">
      <alignment horizontal="center" vertical="center"/>
    </xf>
    <xf numFmtId="225" fontId="7" fillId="0" borderId="0" xfId="0" applyNumberFormat="1" applyFont="1" applyFill="1" applyAlignment="1">
      <alignment horizontal="center" vertical="center"/>
    </xf>
    <xf numFmtId="225" fontId="7" fillId="0" borderId="0" xfId="2" applyNumberFormat="1" applyFont="1" applyFill="1" applyBorder="1" applyAlignment="1">
      <alignment horizontal="center" vertical="center"/>
    </xf>
    <xf numFmtId="226" fontId="7" fillId="0" borderId="21" xfId="0" applyNumberFormat="1" applyFont="1" applyFill="1" applyBorder="1" applyAlignment="1">
      <alignment vertical="center"/>
    </xf>
    <xf numFmtId="225" fontId="7" fillId="0" borderId="10" xfId="2" applyNumberFormat="1" applyFont="1" applyFill="1" applyBorder="1" applyAlignment="1">
      <alignment horizontal="center" vertical="center"/>
    </xf>
    <xf numFmtId="0" fontId="7" fillId="0" borderId="0" xfId="1" applyFont="1" applyFill="1" applyAlignment="1">
      <alignment horizontal="right"/>
    </xf>
    <xf numFmtId="0" fontId="7" fillId="0" borderId="31" xfId="1" applyFont="1" applyFill="1" applyBorder="1" applyAlignment="1">
      <alignment vertical="distributed" textRotation="255" justifyLastLine="1"/>
    </xf>
    <xf numFmtId="0" fontId="28" fillId="0" borderId="31" xfId="1" applyFont="1" applyFill="1" applyBorder="1" applyAlignment="1">
      <alignment vertical="center" textRotation="255" wrapText="1"/>
    </xf>
    <xf numFmtId="0" fontId="7" fillId="0" borderId="31" xfId="1" applyFont="1" applyFill="1" applyBorder="1" applyAlignment="1">
      <alignment vertical="center" textRotation="255"/>
    </xf>
    <xf numFmtId="0" fontId="29" fillId="0" borderId="31" xfId="1" applyFont="1" applyFill="1" applyBorder="1" applyAlignment="1">
      <alignment vertical="center" textRotation="255" wrapText="1"/>
    </xf>
    <xf numFmtId="0" fontId="7" fillId="0" borderId="27" xfId="1" applyFont="1" applyFill="1" applyBorder="1" applyAlignment="1">
      <alignment vertical="center"/>
    </xf>
    <xf numFmtId="0" fontId="7" fillId="0" borderId="18" xfId="1" applyFont="1" applyFill="1" applyBorder="1" applyAlignment="1">
      <alignment vertical="center"/>
    </xf>
    <xf numFmtId="0" fontId="7" fillId="0" borderId="0" xfId="1" applyFont="1" applyFill="1" applyAlignment="1">
      <alignment horizontal="right" vertical="center"/>
    </xf>
    <xf numFmtId="0" fontId="7" fillId="0" borderId="20" xfId="1" applyFont="1" applyFill="1" applyBorder="1" applyAlignment="1">
      <alignment horizontal="right" vertical="center"/>
    </xf>
    <xf numFmtId="183" fontId="7" fillId="0" borderId="0" xfId="1" applyNumberFormat="1" applyFont="1" applyFill="1" applyAlignment="1">
      <alignment horizontal="right" vertical="center"/>
    </xf>
    <xf numFmtId="0" fontId="7" fillId="0" borderId="31" xfId="1" applyFont="1" applyFill="1" applyBorder="1" applyAlignment="1">
      <alignment vertical="center"/>
    </xf>
    <xf numFmtId="0" fontId="7" fillId="0" borderId="29" xfId="1" applyFont="1" applyFill="1" applyBorder="1" applyAlignment="1">
      <alignment vertical="center"/>
    </xf>
    <xf numFmtId="0" fontId="7" fillId="0" borderId="31" xfId="1" applyFont="1" applyFill="1" applyBorder="1" applyAlignment="1">
      <alignment horizontal="right" vertical="center"/>
    </xf>
    <xf numFmtId="0" fontId="7" fillId="0" borderId="30" xfId="1" applyFont="1" applyFill="1" applyBorder="1" applyAlignment="1">
      <alignment horizontal="right" vertical="center"/>
    </xf>
    <xf numFmtId="0" fontId="7" fillId="0" borderId="29" xfId="1" applyFont="1" applyFill="1" applyBorder="1" applyAlignment="1">
      <alignment horizontal="right" vertical="center"/>
    </xf>
    <xf numFmtId="183" fontId="7" fillId="0" borderId="31" xfId="1" applyNumberFormat="1" applyFont="1" applyFill="1" applyBorder="1" applyAlignment="1">
      <alignment horizontal="right" vertical="center"/>
    </xf>
    <xf numFmtId="183" fontId="7" fillId="0" borderId="30" xfId="1" applyNumberFormat="1" applyFont="1" applyFill="1" applyBorder="1" applyAlignment="1">
      <alignment horizontal="right" vertical="center"/>
    </xf>
    <xf numFmtId="183" fontId="7" fillId="0" borderId="19" xfId="1" applyNumberFormat="1" applyFont="1" applyFill="1" applyBorder="1" applyAlignment="1">
      <alignment vertical="center"/>
    </xf>
    <xf numFmtId="183" fontId="7" fillId="0" borderId="31" xfId="1" applyNumberFormat="1" applyFont="1" applyFill="1" applyBorder="1" applyAlignment="1">
      <alignment vertical="center"/>
    </xf>
    <xf numFmtId="183" fontId="7" fillId="0" borderId="30" xfId="1" applyNumberFormat="1" applyFont="1" applyFill="1" applyBorder="1" applyAlignment="1">
      <alignment vertical="center"/>
    </xf>
    <xf numFmtId="0" fontId="2" fillId="0" borderId="0" xfId="1" applyFont="1" applyFill="1" applyAlignment="1">
      <alignment vertical="center"/>
    </xf>
    <xf numFmtId="0" fontId="7" fillId="0" borderId="32" xfId="0" applyFont="1" applyBorder="1" applyAlignment="1">
      <alignment horizontal="center" vertical="center"/>
    </xf>
    <xf numFmtId="0" fontId="7" fillId="0" borderId="27" xfId="0" applyFont="1" applyBorder="1" applyAlignment="1">
      <alignment horizontal="right" vertical="center"/>
    </xf>
    <xf numFmtId="0" fontId="7" fillId="0" borderId="32" xfId="0" applyFont="1" applyBorder="1" applyAlignment="1">
      <alignment horizontal="right" vertical="center"/>
    </xf>
    <xf numFmtId="0" fontId="6" fillId="0" borderId="0" xfId="0" applyFont="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25" xfId="0" applyFont="1" applyBorder="1" applyAlignment="1">
      <alignment horizontal="center" vertical="center"/>
    </xf>
    <xf numFmtId="0" fontId="7" fillId="0" borderId="20" xfId="0" applyFont="1" applyFill="1" applyBorder="1" applyAlignment="1">
      <alignment horizontal="center" vertical="center"/>
    </xf>
    <xf numFmtId="181" fontId="7" fillId="0" borderId="0" xfId="2" applyNumberFormat="1" applyFont="1" applyFill="1" applyBorder="1" applyAlignment="1">
      <alignment horizontal="center" vertical="center"/>
    </xf>
    <xf numFmtId="185" fontId="7" fillId="0" borderId="20" xfId="2" applyNumberFormat="1" applyFont="1" applyFill="1" applyBorder="1" applyAlignment="1">
      <alignment horizontal="center" vertical="center"/>
    </xf>
    <xf numFmtId="181" fontId="7" fillId="0" borderId="10" xfId="2" applyNumberFormat="1" applyFont="1" applyFill="1" applyBorder="1" applyAlignment="1">
      <alignment horizontal="center" vertical="center"/>
    </xf>
    <xf numFmtId="185" fontId="7" fillId="0" borderId="12" xfId="2" applyNumberFormat="1" applyFont="1" applyFill="1" applyBorder="1" applyAlignment="1">
      <alignment horizontal="center" vertical="center"/>
    </xf>
    <xf numFmtId="0" fontId="7" fillId="0" borderId="2" xfId="0" applyFont="1" applyBorder="1" applyAlignment="1">
      <alignment horizontal="center" vertical="center"/>
    </xf>
    <xf numFmtId="0" fontId="6" fillId="0" borderId="0" xfId="0" applyFont="1" applyFill="1" applyAlignment="1">
      <alignment horizontal="center" vertical="center"/>
    </xf>
    <xf numFmtId="0" fontId="7" fillId="0" borderId="25" xfId="0" applyFont="1" applyFill="1" applyBorder="1" applyAlignment="1">
      <alignment horizontal="center" vertical="center"/>
    </xf>
    <xf numFmtId="0" fontId="11" fillId="0" borderId="2" xfId="0" applyFont="1" applyFill="1" applyBorder="1" applyAlignment="1">
      <alignment horizontal="center" vertical="center"/>
    </xf>
    <xf numFmtId="0" fontId="7" fillId="0" borderId="2" xfId="0" applyFont="1" applyFill="1" applyBorder="1" applyAlignment="1">
      <alignment horizontal="center" vertical="center"/>
    </xf>
    <xf numFmtId="179" fontId="11" fillId="0" borderId="19" xfId="0" applyNumberFormat="1" applyFont="1" applyFill="1" applyBorder="1" applyAlignment="1">
      <alignment horizontal="center" vertical="center"/>
    </xf>
    <xf numFmtId="205" fontId="11" fillId="0" borderId="19" xfId="0" applyNumberFormat="1" applyFont="1" applyFill="1" applyBorder="1" applyAlignment="1">
      <alignment horizontal="center" vertical="center"/>
    </xf>
    <xf numFmtId="179" fontId="11" fillId="0" borderId="0" xfId="0" applyNumberFormat="1" applyFont="1" applyFill="1" applyAlignment="1">
      <alignment horizontal="center" vertical="center"/>
    </xf>
    <xf numFmtId="0" fontId="7" fillId="0" borderId="10" xfId="0" applyFont="1" applyFill="1" applyBorder="1" applyAlignment="1">
      <alignment horizontal="center" vertical="center"/>
    </xf>
    <xf numFmtId="179" fontId="11" fillId="0" borderId="21" xfId="0" applyNumberFormat="1" applyFont="1" applyFill="1" applyBorder="1" applyAlignment="1">
      <alignment horizontal="center" vertical="center"/>
    </xf>
    <xf numFmtId="205" fontId="11" fillId="0" borderId="21"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0" borderId="0" xfId="0" applyFont="1" applyFill="1" applyAlignment="1">
      <alignment vertical="center"/>
    </xf>
    <xf numFmtId="0" fontId="74" fillId="0" borderId="0" xfId="0" applyFont="1" applyFill="1" applyAlignment="1">
      <alignment vertical="center"/>
    </xf>
    <xf numFmtId="227" fontId="11" fillId="0" borderId="0" xfId="0" applyNumberFormat="1" applyFont="1" applyFill="1" applyAlignment="1">
      <alignment horizontal="center" vertical="center"/>
    </xf>
    <xf numFmtId="227" fontId="11" fillId="0" borderId="10" xfId="0" applyNumberFormat="1" applyFont="1" applyFill="1" applyBorder="1" applyAlignment="1">
      <alignment horizontal="center" vertical="center"/>
    </xf>
    <xf numFmtId="195" fontId="3" fillId="0" borderId="0" xfId="0" applyNumberFormat="1" applyFont="1" applyAlignment="1">
      <alignment vertical="center"/>
    </xf>
    <xf numFmtId="195" fontId="6" fillId="0" borderId="0" xfId="0" applyNumberFormat="1" applyFont="1" applyAlignment="1">
      <alignment vertical="center"/>
    </xf>
    <xf numFmtId="195" fontId="7" fillId="0" borderId="23" xfId="0" applyNumberFormat="1" applyFont="1" applyBorder="1" applyAlignment="1">
      <alignment horizontal="center" vertical="center"/>
    </xf>
    <xf numFmtId="195" fontId="7" fillId="0" borderId="24" xfId="0" applyNumberFormat="1" applyFont="1" applyBorder="1" applyAlignment="1">
      <alignment horizontal="center" vertical="center"/>
    </xf>
    <xf numFmtId="195" fontId="7" fillId="0" borderId="0" xfId="0" applyNumberFormat="1" applyFont="1" applyAlignment="1">
      <alignment vertical="center"/>
    </xf>
    <xf numFmtId="195" fontId="7" fillId="0" borderId="1" xfId="0" applyNumberFormat="1" applyFont="1" applyBorder="1" applyAlignment="1">
      <alignment horizontal="center" vertical="center"/>
    </xf>
    <xf numFmtId="195" fontId="7" fillId="0" borderId="3" xfId="0" applyNumberFormat="1" applyFont="1" applyBorder="1" applyAlignment="1">
      <alignment horizontal="center" vertical="center"/>
    </xf>
    <xf numFmtId="195" fontId="7" fillId="0" borderId="0" xfId="0" applyNumberFormat="1" applyFont="1" applyAlignment="1">
      <alignment horizontal="center" vertical="center"/>
    </xf>
    <xf numFmtId="195" fontId="7" fillId="0" borderId="28" xfId="0" applyNumberFormat="1" applyFont="1" applyBorder="1" applyAlignment="1">
      <alignment horizontal="right" vertical="center"/>
    </xf>
    <xf numFmtId="195" fontId="7" fillId="0" borderId="26" xfId="0" applyNumberFormat="1" applyFont="1" applyBorder="1" applyAlignment="1">
      <alignment horizontal="right" vertical="center"/>
    </xf>
    <xf numFmtId="195" fontId="7" fillId="0" borderId="27" xfId="0" applyNumberFormat="1" applyFont="1" applyBorder="1" applyAlignment="1">
      <alignment horizontal="center" vertical="center"/>
    </xf>
    <xf numFmtId="195" fontId="7" fillId="0" borderId="0" xfId="0" applyNumberFormat="1" applyFont="1" applyAlignment="1">
      <alignment horizontal="distributed" vertical="center"/>
    </xf>
    <xf numFmtId="195" fontId="7" fillId="0" borderId="14" xfId="0" applyNumberFormat="1" applyFont="1" applyBorder="1" applyAlignment="1">
      <alignment horizontal="center" vertical="center"/>
    </xf>
    <xf numFmtId="195" fontId="7" fillId="0" borderId="10" xfId="0" applyNumberFormat="1" applyFont="1" applyBorder="1" applyAlignment="1">
      <alignment horizontal="distributed" vertical="center"/>
    </xf>
    <xf numFmtId="195" fontId="7" fillId="0" borderId="10" xfId="0" applyNumberFormat="1" applyFont="1" applyBorder="1" applyAlignment="1">
      <alignment horizontal="center" vertical="center"/>
    </xf>
    <xf numFmtId="195" fontId="7" fillId="0" borderId="17" xfId="0" applyNumberFormat="1" applyFont="1" applyBorder="1" applyAlignment="1">
      <alignment vertical="center"/>
    </xf>
    <xf numFmtId="195" fontId="7" fillId="0" borderId="22" xfId="0" applyNumberFormat="1" applyFont="1" applyBorder="1" applyAlignment="1">
      <alignment horizontal="distributed" vertical="center"/>
    </xf>
    <xf numFmtId="195" fontId="7" fillId="0" borderId="18" xfId="0" applyNumberFormat="1" applyFont="1" applyBorder="1" applyAlignment="1">
      <alignment horizontal="distributed" vertical="center"/>
    </xf>
    <xf numFmtId="212" fontId="7" fillId="0" borderId="0" xfId="0" applyNumberFormat="1" applyFont="1" applyAlignment="1">
      <alignment vertical="center"/>
    </xf>
    <xf numFmtId="195" fontId="7" fillId="0" borderId="0" xfId="0" quotePrefix="1" applyNumberFormat="1" applyFont="1" applyAlignment="1">
      <alignment horizontal="distributed" vertical="center"/>
    </xf>
    <xf numFmtId="195" fontId="7" fillId="0" borderId="10" xfId="0" applyNumberFormat="1" applyFont="1" applyBorder="1" applyAlignment="1">
      <alignment vertical="center"/>
    </xf>
    <xf numFmtId="49" fontId="7" fillId="0" borderId="0" xfId="0" applyNumberFormat="1" applyFont="1" applyAlignment="1">
      <alignment horizontal="right"/>
    </xf>
    <xf numFmtId="182" fontId="7" fillId="0" borderId="19" xfId="0" applyNumberFormat="1" applyFont="1" applyBorder="1" applyAlignment="1">
      <alignment horizontal="center" vertical="center"/>
    </xf>
    <xf numFmtId="184" fontId="7" fillId="0" borderId="20" xfId="0" applyNumberFormat="1" applyFont="1" applyBorder="1" applyAlignment="1">
      <alignment horizontal="center" vertical="center"/>
    </xf>
    <xf numFmtId="205" fontId="7" fillId="0" borderId="20" xfId="0" applyNumberFormat="1" applyFont="1" applyBorder="1" applyAlignment="1">
      <alignment horizontal="center" vertical="center"/>
    </xf>
    <xf numFmtId="205" fontId="7" fillId="0" borderId="12" xfId="0" applyNumberFormat="1" applyFont="1" applyBorder="1" applyAlignment="1">
      <alignment horizontal="center" vertical="center"/>
    </xf>
    <xf numFmtId="182" fontId="7" fillId="0" borderId="16" xfId="0" applyNumberFormat="1" applyFont="1" applyBorder="1" applyAlignment="1">
      <alignment horizontal="center" vertical="center"/>
    </xf>
    <xf numFmtId="205" fontId="7" fillId="0" borderId="24" xfId="0" applyNumberFormat="1" applyFont="1" applyBorder="1" applyAlignment="1">
      <alignment horizontal="center" vertical="center"/>
    </xf>
    <xf numFmtId="182" fontId="7" fillId="0" borderId="12" xfId="0" applyNumberFormat="1" applyFont="1" applyBorder="1" applyAlignment="1">
      <alignment horizontal="center" vertical="center"/>
    </xf>
    <xf numFmtId="182" fontId="7" fillId="0" borderId="21" xfId="0" applyNumberFormat="1" applyFont="1" applyBorder="1" applyAlignment="1">
      <alignment horizontal="center" vertical="center"/>
    </xf>
    <xf numFmtId="184" fontId="7" fillId="0" borderId="12" xfId="0" applyNumberFormat="1" applyFont="1" applyBorder="1" applyAlignment="1">
      <alignment horizontal="center" vertical="center"/>
    </xf>
    <xf numFmtId="205" fontId="7" fillId="0" borderId="21" xfId="0" applyNumberFormat="1" applyFont="1" applyBorder="1" applyAlignment="1">
      <alignment horizontal="center" vertical="center"/>
    </xf>
    <xf numFmtId="182" fontId="7" fillId="0" borderId="23" xfId="0" applyNumberFormat="1" applyFont="1" applyBorder="1" applyAlignment="1">
      <alignment horizontal="center" vertical="center"/>
    </xf>
    <xf numFmtId="189" fontId="7" fillId="0" borderId="24" xfId="0" applyNumberFormat="1" applyFont="1" applyBorder="1" applyAlignment="1">
      <alignment horizontal="center" vertical="center"/>
    </xf>
    <xf numFmtId="212" fontId="7" fillId="0" borderId="20" xfId="0" applyNumberFormat="1" applyFont="1" applyBorder="1" applyAlignment="1">
      <alignment horizontal="center" vertical="center"/>
    </xf>
    <xf numFmtId="195" fontId="7" fillId="0" borderId="12" xfId="0" applyNumberFormat="1" applyFont="1" applyBorder="1" applyAlignment="1">
      <alignment horizontal="center" vertical="center"/>
    </xf>
    <xf numFmtId="212" fontId="7" fillId="0" borderId="12" xfId="0" applyNumberFormat="1" applyFont="1" applyBorder="1" applyAlignment="1">
      <alignment horizontal="center" vertical="center"/>
    </xf>
    <xf numFmtId="0" fontId="7" fillId="0" borderId="0" xfId="0" applyFont="1" applyFill="1" applyAlignment="1">
      <alignment horizontal="center" vertical="center"/>
    </xf>
    <xf numFmtId="0" fontId="7" fillId="0" borderId="34" xfId="0" applyFont="1" applyFill="1" applyBorder="1" applyAlignment="1">
      <alignment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28" xfId="0" applyFont="1" applyFill="1" applyBorder="1" applyAlignment="1">
      <alignment horizontal="right" vertical="center" wrapText="1"/>
    </xf>
    <xf numFmtId="0" fontId="7" fillId="0" borderId="28" xfId="0" applyFont="1" applyFill="1" applyBorder="1" applyAlignment="1">
      <alignment horizontal="right" vertical="center"/>
    </xf>
    <xf numFmtId="0" fontId="7" fillId="0" borderId="26" xfId="0" applyFont="1" applyFill="1" applyBorder="1" applyAlignment="1">
      <alignment horizontal="right" vertical="center"/>
    </xf>
    <xf numFmtId="0" fontId="7" fillId="0" borderId="79" xfId="0" applyFont="1" applyFill="1" applyBorder="1" applyAlignment="1">
      <alignment horizontal="center" vertical="center"/>
    </xf>
    <xf numFmtId="195" fontId="7" fillId="0" borderId="73" xfId="0" applyNumberFormat="1" applyFont="1" applyFill="1" applyBorder="1" applyAlignment="1">
      <alignment horizontal="center" vertical="center"/>
    </xf>
    <xf numFmtId="195" fontId="7" fillId="0" borderId="75" xfId="0" applyNumberFormat="1" applyFont="1" applyFill="1" applyBorder="1" applyAlignment="1">
      <alignment horizontal="center" vertical="center"/>
    </xf>
    <xf numFmtId="0" fontId="7" fillId="0" borderId="67" xfId="0" applyFont="1" applyFill="1" applyBorder="1" applyAlignment="1">
      <alignment horizontal="center" vertical="center"/>
    </xf>
    <xf numFmtId="195" fontId="7" fillId="0" borderId="70" xfId="0" applyNumberFormat="1" applyFont="1" applyFill="1" applyBorder="1" applyAlignment="1">
      <alignment horizontal="center" vertical="center"/>
    </xf>
    <xf numFmtId="195" fontId="7" fillId="0" borderId="69" xfId="0" applyNumberFormat="1" applyFont="1" applyFill="1" applyBorder="1" applyAlignment="1">
      <alignment horizontal="center" vertical="center"/>
    </xf>
    <xf numFmtId="0" fontId="7" fillId="0" borderId="5" xfId="0" applyFont="1" applyFill="1" applyBorder="1" applyAlignment="1">
      <alignment horizontal="distributed" vertical="center" wrapText="1"/>
    </xf>
    <xf numFmtId="0" fontId="7" fillId="0" borderId="6" xfId="0" applyFont="1" applyFill="1" applyBorder="1" applyAlignment="1">
      <alignment horizontal="distributed" vertical="center" wrapText="1"/>
    </xf>
    <xf numFmtId="0" fontId="7" fillId="0" borderId="26" xfId="0" applyFont="1" applyFill="1" applyBorder="1" applyAlignment="1">
      <alignment horizontal="right" vertical="center" wrapText="1"/>
    </xf>
    <xf numFmtId="195" fontId="7" fillId="0" borderId="73" xfId="0" applyNumberFormat="1" applyFont="1" applyFill="1" applyBorder="1" applyAlignment="1">
      <alignment vertical="center"/>
    </xf>
    <xf numFmtId="195" fontId="7" fillId="0" borderId="73" xfId="0" applyNumberFormat="1" applyFont="1" applyFill="1" applyBorder="1" applyAlignment="1">
      <alignment horizontal="right" vertical="center"/>
    </xf>
    <xf numFmtId="195" fontId="7" fillId="0" borderId="75" xfId="0" applyNumberFormat="1" applyFont="1" applyFill="1" applyBorder="1" applyAlignment="1">
      <alignment horizontal="right" vertical="center"/>
    </xf>
    <xf numFmtId="195" fontId="7" fillId="0" borderId="70" xfId="0" applyNumberFormat="1" applyFont="1" applyFill="1" applyBorder="1" applyAlignment="1">
      <alignment vertical="center"/>
    </xf>
    <xf numFmtId="195" fontId="7" fillId="0" borderId="70" xfId="0" applyNumberFormat="1" applyFont="1" applyFill="1" applyBorder="1" applyAlignment="1">
      <alignment horizontal="right" vertical="center"/>
    </xf>
    <xf numFmtId="195" fontId="7" fillId="0" borderId="69" xfId="0" applyNumberFormat="1" applyFont="1" applyFill="1" applyBorder="1" applyAlignment="1">
      <alignment horizontal="right" vertical="center"/>
    </xf>
    <xf numFmtId="0" fontId="12" fillId="0" borderId="0" xfId="1" applyFont="1" applyFill="1" applyAlignment="1">
      <alignment vertical="center"/>
    </xf>
    <xf numFmtId="0" fontId="9" fillId="0" borderId="6" xfId="1" applyFont="1" applyFill="1" applyBorder="1" applyAlignment="1">
      <alignment horizontal="center" vertical="center" wrapText="1"/>
    </xf>
    <xf numFmtId="0" fontId="9" fillId="0" borderId="32" xfId="1" applyFont="1" applyFill="1" applyBorder="1" applyAlignment="1">
      <alignment horizontal="distributed" vertical="center"/>
    </xf>
    <xf numFmtId="179" fontId="9" fillId="0" borderId="20" xfId="1" applyNumberFormat="1" applyFont="1" applyFill="1" applyBorder="1" applyAlignment="1">
      <alignment horizontal="center" vertical="center"/>
    </xf>
    <xf numFmtId="179" fontId="9" fillId="0" borderId="28" xfId="1" applyNumberFormat="1" applyFont="1" applyFill="1" applyBorder="1" applyAlignment="1">
      <alignment horizontal="center" vertical="center"/>
    </xf>
    <xf numFmtId="0" fontId="9" fillId="0" borderId="0" xfId="1" applyFont="1" applyFill="1" applyAlignment="1">
      <alignment horizontal="distributed" vertical="center"/>
    </xf>
    <xf numFmtId="179" fontId="9" fillId="0" borderId="20" xfId="1" applyNumberFormat="1" applyFont="1" applyFill="1" applyBorder="1" applyAlignment="1">
      <alignment horizontal="right" vertical="center"/>
    </xf>
    <xf numFmtId="179" fontId="9" fillId="0" borderId="19" xfId="1" applyNumberFormat="1" applyFont="1" applyFill="1" applyBorder="1" applyAlignment="1">
      <alignment horizontal="right" vertical="center"/>
    </xf>
    <xf numFmtId="215" fontId="9" fillId="0" borderId="0" xfId="1" applyNumberFormat="1" applyFont="1" applyFill="1" applyAlignment="1">
      <alignment horizontal="distributed" vertical="center"/>
    </xf>
    <xf numFmtId="0" fontId="9" fillId="0" borderId="0" xfId="1" applyFont="1" applyFill="1"/>
    <xf numFmtId="179" fontId="9" fillId="0" borderId="28" xfId="4" applyNumberFormat="1" applyFont="1" applyFill="1" applyBorder="1" applyAlignment="1">
      <alignment horizontal="right" vertical="center"/>
    </xf>
    <xf numFmtId="177" fontId="9" fillId="0" borderId="32" xfId="4" applyNumberFormat="1" applyFont="1" applyFill="1" applyBorder="1" applyAlignment="1">
      <alignment horizontal="right" vertical="center"/>
    </xf>
    <xf numFmtId="0" fontId="9" fillId="0" borderId="10" xfId="1" applyFont="1" applyFill="1" applyBorder="1" applyAlignment="1">
      <alignment horizontal="distributed" vertical="center"/>
    </xf>
    <xf numFmtId="179" fontId="9" fillId="0" borderId="12" xfId="1" applyNumberFormat="1" applyFont="1" applyFill="1" applyBorder="1" applyAlignment="1">
      <alignment horizontal="right" vertical="center"/>
    </xf>
    <xf numFmtId="179" fontId="9" fillId="0" borderId="21" xfId="1" applyNumberFormat="1" applyFont="1" applyFill="1" applyBorder="1" applyAlignment="1">
      <alignment horizontal="right" vertical="center"/>
    </xf>
    <xf numFmtId="177" fontId="9" fillId="0" borderId="10" xfId="4" applyNumberFormat="1" applyFont="1" applyFill="1" applyBorder="1" applyAlignment="1">
      <alignment horizontal="right" vertical="center"/>
    </xf>
    <xf numFmtId="0" fontId="9" fillId="0" borderId="0" xfId="1" applyFont="1" applyFill="1" applyAlignment="1">
      <alignment vertical="center"/>
    </xf>
    <xf numFmtId="213" fontId="9" fillId="0" borderId="0" xfId="1" applyNumberFormat="1" applyFont="1" applyFill="1" applyAlignment="1">
      <alignment vertical="center"/>
    </xf>
    <xf numFmtId="192" fontId="7" fillId="0" borderId="31" xfId="0" applyNumberFormat="1" applyFont="1" applyFill="1" applyBorder="1" applyAlignment="1">
      <alignment horizontal="center" vertical="center"/>
    </xf>
    <xf numFmtId="0" fontId="7" fillId="0" borderId="28" xfId="0" applyFont="1" applyFill="1" applyBorder="1" applyAlignment="1">
      <alignment horizontal="center" vertical="center"/>
    </xf>
    <xf numFmtId="192" fontId="7" fillId="0" borderId="28" xfId="0" applyNumberFormat="1" applyFont="1" applyFill="1" applyBorder="1" applyAlignment="1">
      <alignment horizontal="center" vertical="center"/>
    </xf>
    <xf numFmtId="208" fontId="7" fillId="0" borderId="28" xfId="0" applyNumberFormat="1" applyFont="1" applyFill="1" applyBorder="1" applyAlignment="1">
      <alignment horizontal="center" vertical="center"/>
    </xf>
    <xf numFmtId="192" fontId="7" fillId="0" borderId="26" xfId="0" applyNumberFormat="1" applyFont="1" applyFill="1" applyBorder="1" applyAlignment="1">
      <alignment horizontal="center" vertical="center"/>
    </xf>
    <xf numFmtId="192" fontId="7" fillId="0" borderId="19" xfId="0" applyNumberFormat="1" applyFont="1" applyFill="1" applyBorder="1" applyAlignment="1">
      <alignment horizontal="center" vertical="center"/>
    </xf>
    <xf numFmtId="208" fontId="7" fillId="0" borderId="19" xfId="0" applyNumberFormat="1" applyFont="1" applyFill="1" applyBorder="1" applyAlignment="1">
      <alignment horizontal="center" vertical="center"/>
    </xf>
    <xf numFmtId="192" fontId="7" fillId="0" borderId="20" xfId="0" applyNumberFormat="1" applyFont="1" applyFill="1" applyBorder="1" applyAlignment="1">
      <alignment horizontal="center" vertical="center"/>
    </xf>
    <xf numFmtId="0" fontId="7" fillId="0" borderId="31" xfId="0" applyFont="1" applyFill="1" applyBorder="1" applyAlignment="1">
      <alignment horizontal="center" vertical="center"/>
    </xf>
    <xf numFmtId="208" fontId="7" fillId="0" borderId="31" xfId="0" applyNumberFormat="1" applyFont="1" applyFill="1" applyBorder="1" applyAlignment="1">
      <alignment horizontal="center" vertical="center"/>
    </xf>
    <xf numFmtId="192" fontId="7" fillId="0" borderId="30" xfId="0" applyNumberFormat="1" applyFont="1" applyFill="1" applyBorder="1" applyAlignment="1">
      <alignment horizontal="center" vertical="center"/>
    </xf>
    <xf numFmtId="192" fontId="7" fillId="0" borderId="21" xfId="0" applyNumberFormat="1" applyFont="1" applyFill="1" applyBorder="1" applyAlignment="1">
      <alignment horizontal="center" vertical="center"/>
    </xf>
    <xf numFmtId="208" fontId="7" fillId="0" borderId="21" xfId="0" applyNumberFormat="1" applyFont="1" applyFill="1" applyBorder="1" applyAlignment="1">
      <alignment horizontal="center" vertical="center"/>
    </xf>
    <xf numFmtId="192" fontId="7" fillId="0" borderId="12" xfId="0" applyNumberFormat="1" applyFont="1" applyFill="1" applyBorder="1" applyAlignment="1">
      <alignment horizontal="center" vertical="center"/>
    </xf>
    <xf numFmtId="192" fontId="7" fillId="0" borderId="0" xfId="0" applyNumberFormat="1" applyFont="1" applyFill="1" applyAlignment="1">
      <alignment vertical="center"/>
    </xf>
    <xf numFmtId="229" fontId="7" fillId="0" borderId="0" xfId="2" applyNumberFormat="1" applyFont="1" applyFill="1" applyBorder="1" applyAlignment="1">
      <alignment horizontal="center" vertical="center"/>
    </xf>
    <xf numFmtId="230" fontId="7" fillId="0" borderId="18" xfId="2" applyNumberFormat="1" applyFont="1" applyFill="1" applyBorder="1" applyAlignment="1">
      <alignment horizontal="left" vertical="center"/>
    </xf>
    <xf numFmtId="229" fontId="7" fillId="0" borderId="20" xfId="2" applyNumberFormat="1" applyFont="1" applyFill="1" applyBorder="1" applyAlignment="1">
      <alignment horizontal="center" vertical="center"/>
    </xf>
    <xf numFmtId="229" fontId="7" fillId="0" borderId="0" xfId="2" applyNumberFormat="1" applyFont="1" applyFill="1" applyAlignment="1">
      <alignment horizontal="center" vertical="center"/>
    </xf>
    <xf numFmtId="0" fontId="7" fillId="0" borderId="28" xfId="0" applyFont="1" applyFill="1" applyBorder="1" applyAlignment="1">
      <alignment horizontal="distributed" vertical="center"/>
    </xf>
    <xf numFmtId="0" fontId="7" fillId="0" borderId="26" xfId="0" applyFont="1" applyFill="1" applyBorder="1" applyAlignment="1">
      <alignment horizontal="distributed" vertical="center"/>
    </xf>
    <xf numFmtId="230" fontId="7" fillId="0" borderId="32" xfId="2" applyNumberFormat="1" applyFont="1" applyFill="1" applyBorder="1" applyAlignment="1">
      <alignment horizontal="left" vertical="center"/>
    </xf>
    <xf numFmtId="0" fontId="7" fillId="0" borderId="19" xfId="0" applyFont="1" applyFill="1" applyBorder="1" applyAlignment="1">
      <alignment horizontal="distributed" vertical="center"/>
    </xf>
    <xf numFmtId="0" fontId="7" fillId="0" borderId="20" xfId="0" applyFont="1" applyFill="1" applyBorder="1" applyAlignment="1">
      <alignment horizontal="distributed" vertical="center"/>
    </xf>
    <xf numFmtId="230" fontId="7" fillId="0" borderId="18" xfId="2" applyNumberFormat="1" applyFont="1" applyFill="1" applyBorder="1" applyAlignment="1">
      <alignment horizontal="center" vertical="center"/>
    </xf>
    <xf numFmtId="228" fontId="7" fillId="0" borderId="0" xfId="0" applyNumberFormat="1" applyFont="1" applyFill="1" applyAlignment="1">
      <alignment horizontal="center" vertical="center"/>
    </xf>
    <xf numFmtId="229" fontId="7" fillId="0" borderId="18" xfId="2" applyNumberFormat="1" applyFont="1" applyFill="1" applyBorder="1" applyAlignment="1">
      <alignment horizontal="center" vertical="center"/>
    </xf>
    <xf numFmtId="0" fontId="7" fillId="0" borderId="21" xfId="0" applyFont="1" applyFill="1" applyBorder="1" applyAlignment="1">
      <alignment horizontal="distributed" vertical="center"/>
    </xf>
    <xf numFmtId="0" fontId="7" fillId="0" borderId="12" xfId="0" applyFont="1" applyFill="1" applyBorder="1" applyAlignment="1">
      <alignment horizontal="distributed" vertical="center"/>
    </xf>
    <xf numFmtId="0" fontId="7" fillId="0" borderId="10" xfId="0" applyFont="1" applyFill="1" applyBorder="1" applyAlignment="1">
      <alignment horizontal="distributed" vertical="center"/>
    </xf>
    <xf numFmtId="229" fontId="7" fillId="0" borderId="10" xfId="2" applyNumberFormat="1" applyFont="1" applyFill="1" applyBorder="1" applyAlignment="1">
      <alignment horizontal="center" vertical="center"/>
    </xf>
    <xf numFmtId="230" fontId="7" fillId="0" borderId="11" xfId="2" applyNumberFormat="1" applyFont="1" applyFill="1" applyBorder="1" applyAlignment="1">
      <alignment horizontal="center" vertical="center"/>
    </xf>
    <xf numFmtId="229" fontId="7" fillId="0" borderId="12" xfId="2" applyNumberFormat="1" applyFont="1" applyFill="1" applyBorder="1" applyAlignment="1">
      <alignment horizontal="center" vertical="center"/>
    </xf>
    <xf numFmtId="0" fontId="7" fillId="0" borderId="27" xfId="0" applyFont="1" applyFill="1" applyBorder="1" applyAlignment="1">
      <alignment vertical="center"/>
    </xf>
    <xf numFmtId="185" fontId="7" fillId="0" borderId="19" xfId="0" applyNumberFormat="1" applyFont="1" applyFill="1" applyBorder="1" applyAlignment="1">
      <alignment horizontal="center" vertical="center"/>
    </xf>
    <xf numFmtId="217" fontId="7" fillId="0" borderId="19" xfId="0" applyNumberFormat="1" applyFont="1" applyFill="1" applyBorder="1" applyAlignment="1">
      <alignment horizontal="center" vertical="center"/>
    </xf>
    <xf numFmtId="185" fontId="7" fillId="0" borderId="18" xfId="0" applyNumberFormat="1" applyFont="1" applyFill="1" applyBorder="1" applyAlignment="1">
      <alignment horizontal="center" vertical="center"/>
    </xf>
    <xf numFmtId="0" fontId="7" fillId="0" borderId="30" xfId="0" applyFont="1" applyFill="1" applyBorder="1" applyAlignment="1">
      <alignment horizontal="center" vertical="center"/>
    </xf>
    <xf numFmtId="0" fontId="7" fillId="0" borderId="7" xfId="0" applyFont="1" applyFill="1" applyBorder="1" applyAlignment="1">
      <alignment horizontal="center" vertical="center"/>
    </xf>
    <xf numFmtId="185" fontId="7" fillId="0" borderId="8" xfId="0" applyNumberFormat="1" applyFont="1" applyFill="1" applyBorder="1" applyAlignment="1">
      <alignment horizontal="center" vertical="center"/>
    </xf>
    <xf numFmtId="217" fontId="7" fillId="0" borderId="8" xfId="0" applyNumberFormat="1"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229" fontId="7" fillId="0" borderId="19" xfId="0" applyNumberFormat="1" applyFont="1" applyFill="1" applyBorder="1" applyAlignment="1">
      <alignment horizontal="center" vertical="center"/>
    </xf>
    <xf numFmtId="201" fontId="7" fillId="0" borderId="19" xfId="0" applyNumberFormat="1" applyFont="1" applyFill="1" applyBorder="1" applyAlignment="1">
      <alignment horizontal="center" vertical="center"/>
    </xf>
    <xf numFmtId="201" fontId="7" fillId="0" borderId="20" xfId="0" applyNumberFormat="1" applyFont="1" applyFill="1" applyBorder="1" applyAlignment="1">
      <alignment horizontal="center" vertical="center"/>
    </xf>
    <xf numFmtId="229" fontId="7" fillId="0" borderId="21" xfId="0" applyNumberFormat="1" applyFont="1" applyFill="1" applyBorder="1" applyAlignment="1">
      <alignment horizontal="center" vertical="center"/>
    </xf>
    <xf numFmtId="201" fontId="7" fillId="0" borderId="21" xfId="0" applyNumberFormat="1" applyFont="1" applyFill="1" applyBorder="1" applyAlignment="1">
      <alignment horizontal="center" vertical="center"/>
    </xf>
    <xf numFmtId="201" fontId="7" fillId="0" borderId="12" xfId="0" applyNumberFormat="1" applyFont="1" applyFill="1" applyBorder="1" applyAlignment="1">
      <alignment horizontal="center" vertical="center"/>
    </xf>
    <xf numFmtId="0" fontId="7" fillId="0" borderId="22" xfId="0" applyFont="1" applyFill="1" applyBorder="1" applyAlignment="1">
      <alignment horizontal="center" vertical="center"/>
    </xf>
    <xf numFmtId="0" fontId="75" fillId="0" borderId="3" xfId="0" applyFont="1" applyFill="1" applyBorder="1" applyAlignment="1">
      <alignment horizontal="distributed" vertical="center" wrapText="1"/>
    </xf>
    <xf numFmtId="0" fontId="75" fillId="0" borderId="23" xfId="0" applyFont="1" applyFill="1" applyBorder="1" applyAlignment="1">
      <alignment horizontal="center" vertical="center" wrapText="1"/>
    </xf>
    <xf numFmtId="0" fontId="75"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28" fillId="0" borderId="4" xfId="0" applyFont="1" applyFill="1" applyBorder="1" applyAlignment="1">
      <alignment horizontal="center" vertical="center" wrapText="1"/>
    </xf>
    <xf numFmtId="231" fontId="7" fillId="0" borderId="5" xfId="0" applyNumberFormat="1" applyFont="1" applyFill="1" applyBorder="1" applyAlignment="1">
      <alignment horizontal="center" vertical="center"/>
    </xf>
    <xf numFmtId="232" fontId="7" fillId="0" borderId="5" xfId="0" applyNumberFormat="1" applyFont="1" applyFill="1" applyBorder="1" applyAlignment="1">
      <alignment horizontal="center" vertical="center"/>
    </xf>
    <xf numFmtId="233" fontId="7" fillId="0" borderId="5" xfId="0" applyNumberFormat="1" applyFont="1" applyFill="1" applyBorder="1" applyAlignment="1">
      <alignment horizontal="center" vertical="center"/>
    </xf>
    <xf numFmtId="234" fontId="7" fillId="0" borderId="0" xfId="0" applyNumberFormat="1" applyFont="1" applyFill="1" applyAlignment="1">
      <alignment horizontal="center" vertical="center"/>
    </xf>
    <xf numFmtId="0" fontId="28" fillId="0" borderId="4" xfId="0" applyFont="1" applyFill="1" applyBorder="1" applyAlignment="1">
      <alignment horizontal="distributed" vertical="center" wrapText="1"/>
    </xf>
    <xf numFmtId="0" fontId="28" fillId="0" borderId="7" xfId="0" applyFont="1" applyFill="1" applyBorder="1" applyAlignment="1">
      <alignment horizontal="distributed" vertical="center" wrapText="1"/>
    </xf>
    <xf numFmtId="0" fontId="75" fillId="0" borderId="2" xfId="0" applyFont="1" applyFill="1" applyBorder="1" applyAlignment="1">
      <alignment horizontal="center" vertical="center"/>
    </xf>
    <xf numFmtId="195" fontId="7" fillId="0" borderId="19" xfId="0" applyNumberFormat="1" applyFont="1" applyBorder="1" applyAlignment="1">
      <alignment vertical="center"/>
    </xf>
    <xf numFmtId="195" fontId="7" fillId="0" borderId="19" xfId="0" applyNumberFormat="1" applyFont="1" applyBorder="1" applyAlignment="1">
      <alignment horizontal="right" vertical="center"/>
    </xf>
    <xf numFmtId="195" fontId="7" fillId="0" borderId="20" xfId="0" applyNumberFormat="1" applyFont="1" applyBorder="1" applyAlignment="1">
      <alignment vertical="center"/>
    </xf>
    <xf numFmtId="195" fontId="7" fillId="0" borderId="20" xfId="0" applyNumberFormat="1" applyFont="1" applyBorder="1" applyAlignment="1">
      <alignment horizontal="right" vertical="center"/>
    </xf>
    <xf numFmtId="0" fontId="7" fillId="0" borderId="27"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179" fontId="7" fillId="0" borderId="0" xfId="0" applyNumberFormat="1" applyFont="1" applyFill="1" applyAlignment="1">
      <alignment vertical="center"/>
    </xf>
    <xf numFmtId="0" fontId="11" fillId="0" borderId="6" xfId="0" applyFont="1" applyFill="1" applyBorder="1" applyAlignment="1">
      <alignment horizontal="distributed" vertical="center" justifyLastLine="1"/>
    </xf>
    <xf numFmtId="0" fontId="11" fillId="0" borderId="27" xfId="0" applyFont="1" applyFill="1" applyBorder="1" applyAlignment="1">
      <alignment horizontal="center" vertical="center"/>
    </xf>
    <xf numFmtId="179" fontId="11" fillId="0" borderId="26" xfId="0" applyNumberFormat="1" applyFont="1" applyFill="1" applyBorder="1" applyAlignment="1">
      <alignment horizontal="right" vertical="center"/>
    </xf>
    <xf numFmtId="0" fontId="11" fillId="0" borderId="18" xfId="0" applyFont="1" applyFill="1" applyBorder="1" applyAlignment="1">
      <alignment horizontal="center" vertical="center"/>
    </xf>
    <xf numFmtId="179" fontId="11" fillId="0" borderId="20" xfId="0" applyNumberFormat="1" applyFont="1" applyFill="1" applyBorder="1" applyAlignment="1">
      <alignment vertical="center"/>
    </xf>
    <xf numFmtId="211" fontId="11" fillId="0" borderId="20" xfId="0" applyNumberFormat="1" applyFont="1" applyFill="1" applyBorder="1" applyAlignment="1">
      <alignment vertical="center"/>
    </xf>
    <xf numFmtId="212" fontId="7" fillId="0" borderId="0" xfId="0" applyNumberFormat="1" applyFont="1" applyFill="1" applyAlignment="1">
      <alignment vertical="center"/>
    </xf>
    <xf numFmtId="0" fontId="11" fillId="0" borderId="11" xfId="0" applyFont="1" applyFill="1" applyBorder="1" applyAlignment="1">
      <alignment horizontal="center" vertical="center"/>
    </xf>
    <xf numFmtId="179" fontId="11" fillId="0" borderId="12" xfId="0" applyNumberFormat="1" applyFont="1" applyFill="1" applyBorder="1" applyAlignment="1">
      <alignment vertical="center"/>
    </xf>
    <xf numFmtId="211" fontId="11" fillId="0" borderId="12" xfId="0" applyNumberFormat="1" applyFont="1" applyFill="1" applyBorder="1" applyAlignment="1">
      <alignment vertical="center"/>
    </xf>
    <xf numFmtId="179" fontId="7" fillId="0" borderId="17" xfId="0" applyNumberFormat="1" applyFont="1" applyFill="1" applyBorder="1" applyAlignment="1">
      <alignment vertical="center"/>
    </xf>
    <xf numFmtId="179" fontId="7" fillId="0" borderId="0" xfId="0" applyNumberFormat="1" applyFont="1" applyFill="1" applyAlignment="1">
      <alignment horizontal="center" vertical="center"/>
    </xf>
    <xf numFmtId="211" fontId="7" fillId="0" borderId="0" xfId="0" applyNumberFormat="1" applyFont="1" applyFill="1" applyAlignment="1">
      <alignment horizontal="center" vertical="center"/>
    </xf>
    <xf numFmtId="179" fontId="3" fillId="0" borderId="0" xfId="0" applyNumberFormat="1" applyFont="1" applyFill="1" applyAlignment="1">
      <alignment horizontal="left" vertical="center"/>
    </xf>
    <xf numFmtId="179" fontId="7" fillId="0" borderId="5" xfId="0" applyNumberFormat="1" applyFont="1" applyFill="1" applyBorder="1" applyAlignment="1">
      <alignment horizontal="center" vertical="center"/>
    </xf>
    <xf numFmtId="179" fontId="7" fillId="0" borderId="6" xfId="0" applyNumberFormat="1" applyFont="1" applyFill="1" applyBorder="1" applyAlignment="1">
      <alignment horizontal="center" vertical="center"/>
    </xf>
    <xf numFmtId="179" fontId="7" fillId="0" borderId="6" xfId="0" applyNumberFormat="1" applyFont="1" applyFill="1" applyBorder="1" applyAlignment="1">
      <alignment horizontal="center" vertical="center" wrapText="1"/>
    </xf>
    <xf numFmtId="179" fontId="7" fillId="0" borderId="27" xfId="0" applyNumberFormat="1" applyFont="1" applyFill="1" applyBorder="1" applyAlignment="1">
      <alignment horizontal="right" vertical="center"/>
    </xf>
    <xf numFmtId="179" fontId="7" fillId="0" borderId="26" xfId="0" applyNumberFormat="1" applyFont="1" applyFill="1" applyBorder="1" applyAlignment="1">
      <alignment horizontal="right" vertical="center"/>
    </xf>
    <xf numFmtId="179" fontId="7" fillId="0" borderId="28" xfId="0" applyNumberFormat="1" applyFont="1" applyFill="1" applyBorder="1" applyAlignment="1">
      <alignment horizontal="right" vertical="center"/>
    </xf>
    <xf numFmtId="211" fontId="7" fillId="0" borderId="20" xfId="0" applyNumberFormat="1" applyFont="1" applyFill="1" applyBorder="1" applyAlignment="1">
      <alignment vertical="center"/>
    </xf>
    <xf numFmtId="211" fontId="7" fillId="0" borderId="0" xfId="0" applyNumberFormat="1" applyFont="1" applyFill="1" applyAlignment="1">
      <alignment vertical="center"/>
    </xf>
    <xf numFmtId="211" fontId="7" fillId="0" borderId="12" xfId="0" applyNumberFormat="1" applyFont="1" applyFill="1" applyBorder="1" applyAlignment="1">
      <alignment vertical="center"/>
    </xf>
    <xf numFmtId="179" fontId="7" fillId="0" borderId="5" xfId="0" applyNumberFormat="1" applyFont="1" applyFill="1" applyBorder="1" applyAlignment="1">
      <alignment vertical="center" textRotation="255"/>
    </xf>
    <xf numFmtId="179" fontId="7" fillId="0" borderId="5" xfId="0" applyNumberFormat="1" applyFont="1" applyFill="1" applyBorder="1" applyAlignment="1">
      <alignment vertical="center" textRotation="255" wrapText="1"/>
    </xf>
    <xf numFmtId="179" fontId="7" fillId="0" borderId="6" xfId="0" applyNumberFormat="1" applyFont="1" applyFill="1" applyBorder="1" applyAlignment="1">
      <alignment vertical="center" textRotation="255" wrapText="1"/>
    </xf>
    <xf numFmtId="179" fontId="7" fillId="0" borderId="19" xfId="0" applyNumberFormat="1" applyFont="1" applyFill="1" applyBorder="1" applyAlignment="1">
      <alignment horizontal="right" vertical="center" textRotation="255"/>
    </xf>
    <xf numFmtId="179" fontId="7" fillId="0" borderId="19" xfId="0" applyNumberFormat="1" applyFont="1" applyFill="1" applyBorder="1" applyAlignment="1">
      <alignment horizontal="right" vertical="center" textRotation="255" wrapText="1"/>
    </xf>
    <xf numFmtId="179" fontId="7" fillId="0" borderId="20" xfId="0" applyNumberFormat="1" applyFont="1" applyFill="1" applyBorder="1" applyAlignment="1">
      <alignment horizontal="right" vertical="center" textRotation="255" wrapText="1"/>
    </xf>
    <xf numFmtId="179" fontId="11" fillId="0" borderId="19" xfId="0" applyNumberFormat="1" applyFont="1" applyFill="1" applyBorder="1" applyAlignment="1">
      <alignment vertical="center"/>
    </xf>
    <xf numFmtId="179" fontId="11" fillId="0" borderId="19" xfId="0" applyNumberFormat="1" applyFont="1" applyFill="1" applyBorder="1" applyAlignment="1">
      <alignment horizontal="right" vertical="center"/>
    </xf>
    <xf numFmtId="179" fontId="7" fillId="0" borderId="0" xfId="0" applyNumberFormat="1" applyFont="1" applyFill="1" applyAlignment="1">
      <alignment horizontal="right" vertical="center"/>
    </xf>
    <xf numFmtId="179" fontId="11" fillId="0" borderId="21" xfId="0" applyNumberFormat="1" applyFont="1" applyFill="1" applyBorder="1" applyAlignment="1">
      <alignment vertical="center"/>
    </xf>
    <xf numFmtId="179" fontId="11" fillId="0" borderId="21" xfId="0" applyNumberFormat="1" applyFont="1" applyFill="1" applyBorder="1" applyAlignment="1">
      <alignment horizontal="right" vertical="center"/>
    </xf>
    <xf numFmtId="0" fontId="6" fillId="0" borderId="17" xfId="0" applyFont="1" applyFill="1" applyBorder="1" applyAlignment="1">
      <alignment vertical="center"/>
    </xf>
    <xf numFmtId="179" fontId="16" fillId="0" borderId="0" xfId="0" applyNumberFormat="1" applyFont="1" applyFill="1" applyAlignment="1">
      <alignment vertical="center"/>
    </xf>
    <xf numFmtId="179" fontId="11" fillId="0" borderId="0" xfId="0" applyNumberFormat="1" applyFont="1" applyFill="1" applyAlignment="1">
      <alignment vertical="center"/>
    </xf>
    <xf numFmtId="179" fontId="11" fillId="0" borderId="0" xfId="0" applyNumberFormat="1" applyFont="1" applyFill="1" applyAlignment="1">
      <alignment horizontal="right"/>
    </xf>
    <xf numFmtId="179" fontId="11" fillId="0" borderId="1" xfId="0" applyNumberFormat="1" applyFont="1" applyFill="1" applyBorder="1" applyAlignment="1">
      <alignment horizontal="center" vertical="center"/>
    </xf>
    <xf numFmtId="179" fontId="11" fillId="0" borderId="2" xfId="0" applyNumberFormat="1" applyFont="1" applyFill="1" applyBorder="1" applyAlignment="1">
      <alignment horizontal="center" vertical="center"/>
    </xf>
    <xf numFmtId="179" fontId="11" fillId="0" borderId="3" xfId="0" applyNumberFormat="1" applyFont="1" applyFill="1" applyBorder="1" applyAlignment="1">
      <alignment horizontal="center" vertical="center"/>
    </xf>
    <xf numFmtId="179" fontId="11" fillId="0" borderId="27" xfId="0" applyNumberFormat="1" applyFont="1" applyFill="1" applyBorder="1" applyAlignment="1">
      <alignment horizontal="center" vertical="center"/>
    </xf>
    <xf numFmtId="179" fontId="11" fillId="0" borderId="26" xfId="0" applyNumberFormat="1" applyFont="1" applyFill="1" applyBorder="1" applyAlignment="1">
      <alignment vertical="center"/>
    </xf>
    <xf numFmtId="179" fontId="11" fillId="0" borderId="28" xfId="0" applyNumberFormat="1" applyFont="1" applyFill="1" applyBorder="1" applyAlignment="1">
      <alignment horizontal="center" vertical="center"/>
    </xf>
    <xf numFmtId="212" fontId="11" fillId="0" borderId="26" xfId="0" applyNumberFormat="1" applyFont="1" applyFill="1" applyBorder="1" applyAlignment="1">
      <alignment horizontal="center" vertical="center"/>
    </xf>
    <xf numFmtId="179" fontId="11" fillId="0" borderId="20" xfId="0" applyNumberFormat="1" applyFont="1" applyFill="1" applyBorder="1" applyAlignment="1">
      <alignment vertical="center" wrapText="1"/>
    </xf>
    <xf numFmtId="179" fontId="11" fillId="0" borderId="20" xfId="0" applyNumberFormat="1" applyFont="1" applyFill="1" applyBorder="1" applyAlignment="1">
      <alignment horizontal="center" vertical="center"/>
    </xf>
    <xf numFmtId="212" fontId="11" fillId="0" borderId="20" xfId="0" applyNumberFormat="1" applyFont="1" applyFill="1" applyBorder="1" applyAlignment="1">
      <alignment horizontal="center" vertical="center"/>
    </xf>
    <xf numFmtId="179" fontId="11" fillId="0" borderId="18" xfId="0" applyNumberFormat="1" applyFont="1" applyFill="1" applyBorder="1" applyAlignment="1">
      <alignment horizontal="center" vertical="center"/>
    </xf>
    <xf numFmtId="179" fontId="11" fillId="0" borderId="11" xfId="0" applyNumberFormat="1" applyFont="1" applyFill="1" applyBorder="1" applyAlignment="1">
      <alignment horizontal="center" vertical="center"/>
    </xf>
    <xf numFmtId="212" fontId="11" fillId="0" borderId="12" xfId="0" applyNumberFormat="1" applyFont="1" applyFill="1" applyBorder="1" applyAlignment="1">
      <alignment horizontal="center" vertical="center"/>
    </xf>
    <xf numFmtId="179" fontId="11" fillId="0" borderId="17" xfId="0" applyNumberFormat="1" applyFont="1" applyFill="1" applyBorder="1" applyAlignment="1">
      <alignment vertical="center"/>
    </xf>
    <xf numFmtId="179" fontId="11" fillId="0" borderId="12" xfId="0" applyNumberFormat="1" applyFont="1" applyFill="1" applyBorder="1" applyAlignment="1">
      <alignment horizontal="center" vertical="center"/>
    </xf>
    <xf numFmtId="0" fontId="7" fillId="0" borderId="60" xfId="0" applyFont="1" applyBorder="1" applyAlignment="1">
      <alignment horizontal="center" vertical="center"/>
    </xf>
    <xf numFmtId="179" fontId="7" fillId="0" borderId="74" xfId="2" applyNumberFormat="1" applyFont="1" applyBorder="1" applyAlignment="1">
      <alignment vertical="center"/>
    </xf>
    <xf numFmtId="179" fontId="7" fillId="0" borderId="73" xfId="2" applyNumberFormat="1" applyFont="1" applyBorder="1" applyAlignment="1">
      <alignment vertical="center"/>
    </xf>
    <xf numFmtId="179" fontId="7" fillId="0" borderId="75" xfId="2" applyNumberFormat="1" applyFont="1" applyBorder="1" applyAlignment="1">
      <alignment vertical="center"/>
    </xf>
    <xf numFmtId="0" fontId="7" fillId="0" borderId="74" xfId="0" applyFont="1" applyBorder="1" applyAlignment="1">
      <alignment horizontal="center" vertical="center"/>
    </xf>
    <xf numFmtId="179" fontId="7" fillId="0" borderId="60" xfId="2" applyNumberFormat="1" applyFont="1" applyBorder="1" applyAlignment="1">
      <alignment vertical="center"/>
    </xf>
    <xf numFmtId="179" fontId="7" fillId="0" borderId="61" xfId="2" applyNumberFormat="1" applyFont="1" applyBorder="1" applyAlignment="1">
      <alignment vertical="center"/>
    </xf>
    <xf numFmtId="179" fontId="7" fillId="0" borderId="62" xfId="2" applyNumberFormat="1" applyFont="1" applyBorder="1" applyAlignment="1">
      <alignment vertical="center"/>
    </xf>
    <xf numFmtId="0" fontId="7" fillId="0" borderId="68" xfId="0" applyFont="1" applyBorder="1" applyAlignment="1">
      <alignment horizontal="center" vertical="center"/>
    </xf>
    <xf numFmtId="179" fontId="7" fillId="2" borderId="68" xfId="2" applyNumberFormat="1" applyFont="1" applyFill="1" applyBorder="1" applyAlignment="1">
      <alignment vertical="center"/>
    </xf>
    <xf numFmtId="179" fontId="7" fillId="2" borderId="70" xfId="2" applyNumberFormat="1" applyFont="1" applyFill="1" applyBorder="1" applyAlignment="1">
      <alignment vertical="center"/>
    </xf>
    <xf numFmtId="179" fontId="7" fillId="2" borderId="69" xfId="2" applyNumberFormat="1" applyFont="1" applyFill="1" applyBorder="1" applyAlignment="1">
      <alignment vertical="center"/>
    </xf>
    <xf numFmtId="179" fontId="7" fillId="0" borderId="1" xfId="0" applyNumberFormat="1" applyFont="1" applyFill="1" applyBorder="1" applyAlignment="1">
      <alignment horizontal="center" vertical="distributed" textRotation="255" justifyLastLine="1"/>
    </xf>
    <xf numFmtId="179" fontId="7" fillId="0" borderId="2" xfId="0" applyNumberFormat="1" applyFont="1" applyFill="1" applyBorder="1" applyAlignment="1">
      <alignment horizontal="center" vertical="distributed" textRotation="255" justifyLastLine="1"/>
    </xf>
    <xf numFmtId="179" fontId="7" fillId="0" borderId="3" xfId="0" applyNumberFormat="1" applyFont="1" applyFill="1" applyBorder="1" applyAlignment="1">
      <alignment horizontal="center" vertical="distributed" textRotation="255" justifyLastLine="1"/>
    </xf>
    <xf numFmtId="179" fontId="7" fillId="0" borderId="3" xfId="0" applyNumberFormat="1" applyFont="1" applyFill="1" applyBorder="1" applyAlignment="1">
      <alignment horizontal="center" vertical="distributed" textRotation="255" wrapText="1" justifyLastLine="1"/>
    </xf>
    <xf numFmtId="179" fontId="7" fillId="0" borderId="3" xfId="0" applyNumberFormat="1" applyFont="1" applyFill="1" applyBorder="1" applyAlignment="1">
      <alignment vertical="center" textRotation="255" wrapText="1"/>
    </xf>
    <xf numFmtId="179" fontId="7" fillId="0" borderId="2" xfId="0" applyNumberFormat="1" applyFont="1" applyFill="1" applyBorder="1" applyAlignment="1">
      <alignment vertical="center" textRotation="255"/>
    </xf>
    <xf numFmtId="179" fontId="7" fillId="0" borderId="3" xfId="0" applyNumberFormat="1" applyFont="1" applyFill="1" applyBorder="1" applyAlignment="1">
      <alignment vertical="center" textRotation="255"/>
    </xf>
    <xf numFmtId="179" fontId="7" fillId="0" borderId="28" xfId="0" applyNumberFormat="1" applyFont="1" applyFill="1" applyBorder="1" applyAlignment="1">
      <alignment horizontal="center" vertical="center"/>
    </xf>
    <xf numFmtId="212" fontId="7" fillId="0" borderId="28" xfId="0" applyNumberFormat="1" applyFont="1" applyFill="1" applyBorder="1" applyAlignment="1">
      <alignment vertical="center"/>
    </xf>
    <xf numFmtId="212" fontId="7" fillId="0" borderId="27" xfId="0" applyNumberFormat="1" applyFont="1" applyFill="1" applyBorder="1" applyAlignment="1">
      <alignment horizontal="right" vertical="center"/>
    </xf>
    <xf numFmtId="212" fontId="7" fillId="0" borderId="26" xfId="0" applyNumberFormat="1" applyFont="1" applyFill="1" applyBorder="1" applyAlignment="1">
      <alignment vertical="center"/>
    </xf>
    <xf numFmtId="179" fontId="7" fillId="0" borderId="31" xfId="0" applyNumberFormat="1" applyFont="1" applyFill="1" applyBorder="1" applyAlignment="1">
      <alignment horizontal="center" vertical="center"/>
    </xf>
    <xf numFmtId="212" fontId="7" fillId="0" borderId="31" xfId="0" applyNumberFormat="1" applyFont="1" applyFill="1" applyBorder="1" applyAlignment="1">
      <alignment vertical="center"/>
    </xf>
    <xf numFmtId="212" fontId="7" fillId="0" borderId="29" xfId="0" applyNumberFormat="1" applyFont="1" applyFill="1" applyBorder="1" applyAlignment="1">
      <alignment vertical="center"/>
    </xf>
    <xf numFmtId="212" fontId="7" fillId="0" borderId="30" xfId="0" applyNumberFormat="1" applyFont="1" applyFill="1" applyBorder="1" applyAlignment="1">
      <alignment vertical="center"/>
    </xf>
    <xf numFmtId="212" fontId="7" fillId="0" borderId="19" xfId="0" applyNumberFormat="1" applyFont="1" applyFill="1" applyBorder="1" applyAlignment="1">
      <alignment vertical="center"/>
    </xf>
    <xf numFmtId="212" fontId="7" fillId="0" borderId="18" xfId="0" applyNumberFormat="1" applyFont="1" applyFill="1" applyBorder="1" applyAlignment="1">
      <alignment horizontal="right" vertical="center"/>
    </xf>
    <xf numFmtId="212" fontId="7" fillId="0" borderId="20" xfId="0" applyNumberFormat="1" applyFont="1" applyFill="1" applyBorder="1" applyAlignment="1">
      <alignment vertical="center"/>
    </xf>
    <xf numFmtId="212" fontId="7" fillId="0" borderId="21" xfId="0" applyNumberFormat="1" applyFont="1" applyFill="1" applyBorder="1" applyAlignment="1">
      <alignment vertical="center"/>
    </xf>
    <xf numFmtId="212" fontId="7" fillId="0" borderId="11" xfId="0" applyNumberFormat="1" applyFont="1" applyFill="1" applyBorder="1" applyAlignment="1">
      <alignment vertical="center"/>
    </xf>
    <xf numFmtId="212" fontId="7" fillId="0" borderId="12" xfId="0" applyNumberFormat="1" applyFont="1" applyFill="1" applyBorder="1" applyAlignment="1">
      <alignment vertical="center"/>
    </xf>
    <xf numFmtId="0" fontId="7" fillId="0" borderId="5" xfId="0" applyFont="1" applyFill="1" applyBorder="1" applyAlignment="1">
      <alignment horizontal="center" vertical="center" wrapText="1"/>
    </xf>
    <xf numFmtId="0" fontId="7" fillId="0" borderId="18" xfId="0" applyFont="1" applyFill="1" applyBorder="1" applyAlignment="1">
      <alignment horizontal="center" vertical="center" shrinkToFit="1"/>
    </xf>
    <xf numFmtId="205" fontId="7" fillId="0" borderId="20" xfId="2" applyNumberFormat="1" applyFont="1" applyFill="1" applyBorder="1" applyAlignment="1">
      <alignment horizontal="center" vertical="center"/>
    </xf>
    <xf numFmtId="0" fontId="7" fillId="0" borderId="11" xfId="0" applyFont="1" applyFill="1" applyBorder="1" applyAlignment="1">
      <alignment horizontal="center" vertical="center" shrinkToFit="1"/>
    </xf>
    <xf numFmtId="205" fontId="7" fillId="0" borderId="21" xfId="2" applyNumberFormat="1" applyFont="1" applyFill="1" applyBorder="1" applyAlignment="1">
      <alignment horizontal="center" vertical="center"/>
    </xf>
    <xf numFmtId="205" fontId="7" fillId="0" borderId="12" xfId="2" applyNumberFormat="1" applyFont="1" applyFill="1" applyBorder="1" applyAlignment="1">
      <alignment horizontal="center" vertical="center"/>
    </xf>
    <xf numFmtId="185" fontId="7" fillId="0" borderId="73" xfId="0" applyNumberFormat="1" applyFont="1" applyFill="1" applyBorder="1" applyAlignment="1">
      <alignment horizontal="center" vertical="center"/>
    </xf>
    <xf numFmtId="185" fontId="7" fillId="0" borderId="75" xfId="0" applyNumberFormat="1" applyFont="1" applyFill="1" applyBorder="1" applyAlignment="1">
      <alignment horizontal="center" vertical="center"/>
    </xf>
    <xf numFmtId="0" fontId="7" fillId="0" borderId="59" xfId="0" applyFont="1" applyFill="1" applyBorder="1" applyAlignment="1">
      <alignment horizontal="center" vertical="center"/>
    </xf>
    <xf numFmtId="185" fontId="7" fillId="0" borderId="61" xfId="0" applyNumberFormat="1" applyFont="1" applyFill="1" applyBorder="1" applyAlignment="1">
      <alignment horizontal="center" vertical="center"/>
    </xf>
    <xf numFmtId="185" fontId="7" fillId="0" borderId="62" xfId="0" applyNumberFormat="1" applyFont="1" applyFill="1" applyBorder="1" applyAlignment="1">
      <alignment horizontal="center" vertical="center"/>
    </xf>
    <xf numFmtId="185" fontId="7" fillId="0" borderId="21" xfId="0" applyNumberFormat="1" applyFont="1" applyFill="1" applyBorder="1" applyAlignment="1">
      <alignment horizontal="center" vertical="center"/>
    </xf>
    <xf numFmtId="185" fontId="7" fillId="0" borderId="1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vertical="center" textRotation="255" wrapText="1"/>
    </xf>
    <xf numFmtId="0" fontId="7" fillId="0" borderId="3" xfId="0" applyFont="1" applyFill="1" applyBorder="1" applyAlignment="1">
      <alignment vertical="center" textRotation="255" wrapText="1"/>
    </xf>
    <xf numFmtId="0" fontId="7" fillId="0" borderId="27" xfId="0" applyFont="1" applyFill="1" applyBorder="1" applyAlignment="1">
      <alignment horizontal="center" vertical="center"/>
    </xf>
    <xf numFmtId="0" fontId="7" fillId="0" borderId="74" xfId="0" applyFont="1" applyFill="1" applyBorder="1" applyAlignment="1">
      <alignment horizontal="center" vertical="center"/>
    </xf>
    <xf numFmtId="0" fontId="7" fillId="0" borderId="60" xfId="0" applyFont="1" applyFill="1" applyBorder="1" applyAlignment="1">
      <alignment horizontal="center" vertical="center"/>
    </xf>
    <xf numFmtId="181" fontId="7" fillId="0" borderId="74" xfId="0" applyNumberFormat="1" applyFont="1" applyFill="1" applyBorder="1" applyAlignment="1">
      <alignment horizontal="center" vertical="center"/>
    </xf>
    <xf numFmtId="235" fontId="7" fillId="0" borderId="73" xfId="0" applyNumberFormat="1" applyFont="1" applyFill="1" applyBorder="1" applyAlignment="1">
      <alignment horizontal="center" vertical="center"/>
    </xf>
    <xf numFmtId="235" fontId="7" fillId="0" borderId="75" xfId="0" applyNumberFormat="1" applyFont="1" applyFill="1" applyBorder="1" applyAlignment="1">
      <alignment horizontal="center" vertical="center"/>
    </xf>
    <xf numFmtId="181" fontId="7" fillId="0" borderId="60" xfId="0" applyNumberFormat="1" applyFont="1" applyFill="1" applyBorder="1" applyAlignment="1">
      <alignment horizontal="center" vertical="center"/>
    </xf>
    <xf numFmtId="235" fontId="7" fillId="0" borderId="61" xfId="0" applyNumberFormat="1" applyFont="1" applyFill="1" applyBorder="1" applyAlignment="1">
      <alignment horizontal="center" vertical="center"/>
    </xf>
    <xf numFmtId="235" fontId="7" fillId="0" borderId="62" xfId="0" applyNumberFormat="1" applyFont="1" applyFill="1" applyBorder="1" applyAlignment="1">
      <alignment horizontal="center" vertical="center"/>
    </xf>
    <xf numFmtId="181" fontId="7" fillId="0" borderId="11" xfId="0" applyNumberFormat="1" applyFont="1" applyFill="1" applyBorder="1" applyAlignment="1">
      <alignment horizontal="center" vertical="center"/>
    </xf>
    <xf numFmtId="235" fontId="7" fillId="0" borderId="21" xfId="0" applyNumberFormat="1" applyFont="1" applyFill="1" applyBorder="1" applyAlignment="1">
      <alignment horizontal="center" vertical="center"/>
    </xf>
    <xf numFmtId="235" fontId="7" fillId="0" borderId="12" xfId="0" applyNumberFormat="1" applyFont="1" applyFill="1" applyBorder="1" applyAlignment="1">
      <alignment horizontal="center" vertical="center"/>
    </xf>
    <xf numFmtId="181" fontId="7" fillId="0" borderId="73" xfId="2" applyNumberFormat="1" applyFont="1" applyFill="1" applyBorder="1" applyAlignment="1">
      <alignment horizontal="center" vertical="center"/>
    </xf>
    <xf numFmtId="235" fontId="7" fillId="0" borderId="73" xfId="2" applyNumberFormat="1" applyFont="1" applyFill="1" applyBorder="1" applyAlignment="1">
      <alignment horizontal="center" vertical="center"/>
    </xf>
    <xf numFmtId="185" fontId="7" fillId="0" borderId="73" xfId="2" applyNumberFormat="1" applyFont="1" applyFill="1" applyBorder="1" applyAlignment="1">
      <alignment horizontal="center" vertical="center"/>
    </xf>
    <xf numFmtId="182" fontId="7" fillId="0" borderId="75" xfId="2" applyNumberFormat="1" applyFont="1" applyFill="1" applyBorder="1" applyAlignment="1">
      <alignment horizontal="center" vertical="center"/>
    </xf>
    <xf numFmtId="181" fontId="7" fillId="0" borderId="61" xfId="2" applyNumberFormat="1" applyFont="1" applyFill="1" applyBorder="1" applyAlignment="1">
      <alignment horizontal="center" vertical="center"/>
    </xf>
    <xf numFmtId="235" fontId="7" fillId="0" borderId="61" xfId="2" applyNumberFormat="1" applyFont="1" applyFill="1" applyBorder="1" applyAlignment="1">
      <alignment horizontal="center" vertical="center"/>
    </xf>
    <xf numFmtId="185" fontId="7" fillId="0" borderId="61" xfId="2" applyNumberFormat="1" applyFont="1" applyFill="1" applyBorder="1" applyAlignment="1">
      <alignment horizontal="center" vertical="center"/>
    </xf>
    <xf numFmtId="182" fontId="7" fillId="0" borderId="62" xfId="2" applyNumberFormat="1" applyFont="1" applyFill="1" applyBorder="1" applyAlignment="1">
      <alignment horizontal="center" vertical="center"/>
    </xf>
    <xf numFmtId="181" fontId="7" fillId="0" borderId="21" xfId="2" applyNumberFormat="1" applyFont="1" applyFill="1" applyBorder="1" applyAlignment="1">
      <alignment horizontal="center" vertical="center"/>
    </xf>
    <xf numFmtId="235" fontId="7" fillId="0" borderId="21" xfId="2" applyNumberFormat="1" applyFont="1" applyFill="1" applyBorder="1" applyAlignment="1">
      <alignment horizontal="center" vertical="center"/>
    </xf>
    <xf numFmtId="0" fontId="16" fillId="0" borderId="0" xfId="0" applyFont="1" applyFill="1" applyAlignment="1">
      <alignment vertical="center"/>
    </xf>
    <xf numFmtId="0" fontId="27" fillId="0" borderId="0" xfId="0" applyFont="1" applyFill="1" applyAlignment="1">
      <alignment vertical="center"/>
    </xf>
    <xf numFmtId="0" fontId="43" fillId="0" borderId="5" xfId="0" applyFont="1" applyFill="1" applyBorder="1" applyAlignment="1">
      <alignment horizontal="distributed" vertical="center" wrapText="1"/>
    </xf>
    <xf numFmtId="0" fontId="11" fillId="0" borderId="5" xfId="0" applyFont="1" applyFill="1" applyBorder="1" applyAlignment="1">
      <alignment horizontal="distributed" vertical="center"/>
    </xf>
    <xf numFmtId="0" fontId="11" fillId="0" borderId="5" xfId="0" applyFont="1" applyFill="1" applyBorder="1" applyAlignment="1">
      <alignment horizontal="distributed" vertical="center" wrapText="1"/>
    </xf>
    <xf numFmtId="0" fontId="11" fillId="0" borderId="27" xfId="0" applyFont="1" applyFill="1" applyBorder="1" applyAlignment="1">
      <alignment horizontal="right" vertical="center"/>
    </xf>
    <xf numFmtId="0" fontId="11" fillId="0" borderId="28" xfId="0" applyFont="1" applyFill="1" applyBorder="1" applyAlignment="1">
      <alignment horizontal="right" vertical="center"/>
    </xf>
    <xf numFmtId="0" fontId="11" fillId="0" borderId="26" xfId="0" applyFont="1" applyFill="1" applyBorder="1" applyAlignment="1">
      <alignment horizontal="right" vertical="center"/>
    </xf>
    <xf numFmtId="0" fontId="27" fillId="0" borderId="0" xfId="0" applyFont="1" applyFill="1" applyAlignment="1">
      <alignment horizontal="right" vertical="center"/>
    </xf>
    <xf numFmtId="183" fontId="11" fillId="0" borderId="19" xfId="0" applyNumberFormat="1" applyFont="1" applyFill="1" applyBorder="1" applyAlignment="1">
      <alignment horizontal="center" vertical="center"/>
    </xf>
    <xf numFmtId="3" fontId="11" fillId="0" borderId="20" xfId="0" applyNumberFormat="1" applyFont="1" applyFill="1" applyBorder="1" applyAlignment="1">
      <alignment horizontal="center" vertical="center"/>
    </xf>
    <xf numFmtId="236" fontId="11" fillId="0" borderId="19" xfId="16" applyNumberFormat="1" applyFont="1" applyFill="1" applyBorder="1" applyAlignment="1">
      <alignment horizontal="center" vertical="center"/>
    </xf>
    <xf numFmtId="236" fontId="11" fillId="0" borderId="21" xfId="16" applyNumberFormat="1" applyFont="1" applyFill="1" applyBorder="1" applyAlignment="1">
      <alignment horizontal="center" vertical="center"/>
    </xf>
    <xf numFmtId="3" fontId="11" fillId="0" borderId="12" xfId="0" applyNumberFormat="1" applyFont="1" applyFill="1" applyBorder="1" applyAlignment="1">
      <alignment horizontal="center" vertical="center"/>
    </xf>
    <xf numFmtId="3" fontId="27" fillId="0" borderId="0" xfId="0" applyNumberFormat="1" applyFont="1" applyFill="1" applyAlignment="1">
      <alignment vertical="center"/>
    </xf>
    <xf numFmtId="0" fontId="27" fillId="0" borderId="0" xfId="0" applyFont="1" applyFill="1" applyAlignment="1">
      <alignment vertical="center" wrapText="1"/>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27" xfId="0" applyFont="1" applyBorder="1" applyAlignment="1">
      <alignment horizontal="distributed" vertical="center"/>
    </xf>
    <xf numFmtId="38" fontId="7" fillId="0" borderId="26" xfId="2" applyFont="1" applyFill="1" applyBorder="1" applyAlignment="1">
      <alignment horizontal="right" vertical="center" wrapText="1"/>
    </xf>
    <xf numFmtId="38" fontId="7" fillId="0" borderId="19" xfId="2" applyFont="1" applyFill="1" applyBorder="1" applyAlignment="1">
      <alignment horizontal="center" vertical="center" wrapText="1"/>
    </xf>
    <xf numFmtId="38" fontId="7" fillId="0" borderId="20" xfId="2" applyFont="1" applyFill="1" applyBorder="1" applyAlignment="1">
      <alignment horizontal="center" vertical="center" wrapText="1"/>
    </xf>
    <xf numFmtId="38" fontId="7" fillId="0" borderId="21" xfId="2" applyFont="1" applyFill="1" applyBorder="1" applyAlignment="1">
      <alignment horizontal="center" vertical="center" wrapText="1"/>
    </xf>
    <xf numFmtId="38" fontId="7" fillId="0" borderId="12" xfId="2" applyFont="1" applyFill="1" applyBorder="1" applyAlignment="1">
      <alignment horizontal="center" vertical="center" wrapText="1"/>
    </xf>
    <xf numFmtId="0" fontId="7" fillId="0" borderId="40" xfId="0" applyFont="1" applyBorder="1" applyAlignment="1">
      <alignment horizontal="center" vertical="center"/>
    </xf>
    <xf numFmtId="0" fontId="7" fillId="0" borderId="43" xfId="0" applyFont="1" applyBorder="1" applyAlignment="1">
      <alignment horizontal="right" vertical="center"/>
    </xf>
    <xf numFmtId="38" fontId="7" fillId="0" borderId="86" xfId="2" applyFont="1" applyFill="1" applyBorder="1" applyAlignment="1">
      <alignment vertical="center"/>
    </xf>
    <xf numFmtId="0" fontId="7" fillId="0" borderId="0" xfId="0" applyFont="1" applyAlignment="1">
      <alignment horizontal="distributed" vertical="distributed"/>
    </xf>
    <xf numFmtId="38" fontId="7" fillId="0" borderId="43" xfId="2" applyFont="1" applyFill="1" applyBorder="1" applyAlignment="1">
      <alignment vertical="center"/>
    </xf>
    <xf numFmtId="38" fontId="7" fillId="0" borderId="86" xfId="2" applyFont="1" applyFill="1" applyBorder="1" applyAlignment="1">
      <alignment horizontal="right" vertical="center"/>
    </xf>
    <xf numFmtId="0" fontId="7" fillId="0" borderId="10" xfId="0" applyFont="1" applyBorder="1" applyAlignment="1">
      <alignment horizontal="distributed" vertical="distributed"/>
    </xf>
    <xf numFmtId="38" fontId="7" fillId="0" borderId="87" xfId="2" applyFont="1" applyFill="1" applyBorder="1" applyAlignment="1">
      <alignment horizontal="right" vertical="center"/>
    </xf>
    <xf numFmtId="0" fontId="9" fillId="0" borderId="0" xfId="0" applyFont="1" applyAlignment="1">
      <alignment vertical="center"/>
    </xf>
    <xf numFmtId="0" fontId="7" fillId="0" borderId="10" xfId="0" applyFont="1" applyFill="1" applyBorder="1" applyAlignment="1">
      <alignment horizontal="right"/>
    </xf>
    <xf numFmtId="181" fontId="7" fillId="0" borderId="19" xfId="0" applyNumberFormat="1" applyFont="1" applyFill="1" applyBorder="1" applyAlignment="1">
      <alignment horizontal="center" vertical="center"/>
    </xf>
    <xf numFmtId="192" fontId="7" fillId="0" borderId="18" xfId="0" applyNumberFormat="1" applyFont="1" applyFill="1" applyBorder="1" applyAlignment="1">
      <alignment horizontal="center" vertical="center"/>
    </xf>
    <xf numFmtId="182" fontId="7" fillId="0" borderId="0" xfId="2" applyNumberFormat="1" applyFont="1" applyFill="1" applyAlignment="1">
      <alignment horizontal="center" vertical="center"/>
    </xf>
    <xf numFmtId="57" fontId="7" fillId="0" borderId="19" xfId="0" applyNumberFormat="1" applyFont="1" applyFill="1" applyBorder="1" applyAlignment="1">
      <alignment horizontal="center" vertical="center"/>
    </xf>
    <xf numFmtId="182" fontId="7" fillId="0" borderId="19" xfId="2" applyNumberFormat="1" applyFont="1" applyFill="1" applyBorder="1" applyAlignment="1">
      <alignment horizontal="center" vertical="center"/>
    </xf>
    <xf numFmtId="181" fontId="7" fillId="0" borderId="21" xfId="0" applyNumberFormat="1" applyFont="1" applyFill="1" applyBorder="1" applyAlignment="1">
      <alignment horizontal="center" vertical="center"/>
    </xf>
    <xf numFmtId="192" fontId="7" fillId="0" borderId="11" xfId="0" applyNumberFormat="1" applyFont="1" applyFill="1" applyBorder="1" applyAlignment="1">
      <alignment horizontal="center" vertical="center"/>
    </xf>
    <xf numFmtId="182" fontId="7" fillId="0" borderId="10" xfId="2" applyNumberFormat="1" applyFont="1" applyFill="1" applyBorder="1" applyAlignment="1">
      <alignment horizontal="center" vertical="center"/>
    </xf>
    <xf numFmtId="181" fontId="7" fillId="0" borderId="19" xfId="0" applyNumberFormat="1" applyFont="1" applyFill="1" applyBorder="1" applyAlignment="1">
      <alignment horizontal="left" vertical="center"/>
    </xf>
    <xf numFmtId="0" fontId="20" fillId="0" borderId="19" xfId="12" applyFont="1" applyFill="1" applyBorder="1" applyAlignment="1">
      <alignment horizontal="center" vertical="center"/>
    </xf>
    <xf numFmtId="179" fontId="20" fillId="0" borderId="19" xfId="12" applyNumberFormat="1" applyFont="1" applyFill="1" applyBorder="1" applyAlignment="1">
      <alignment horizontal="right" vertical="center"/>
    </xf>
    <xf numFmtId="0" fontId="17" fillId="0" borderId="0" xfId="12" applyFont="1" applyFill="1">
      <alignment vertical="center"/>
    </xf>
    <xf numFmtId="38" fontId="30" fillId="0" borderId="0" xfId="13" applyFont="1" applyFill="1">
      <alignment vertical="center"/>
    </xf>
    <xf numFmtId="0" fontId="46" fillId="0" borderId="5"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00" xfId="0" applyFont="1" applyFill="1" applyBorder="1" applyAlignment="1">
      <alignment vertical="center" wrapText="1"/>
    </xf>
    <xf numFmtId="0" fontId="7" fillId="0" borderId="25" xfId="0" applyFont="1" applyFill="1" applyBorder="1" applyAlignment="1">
      <alignment horizontal="center" vertical="center" wrapText="1"/>
    </xf>
    <xf numFmtId="0" fontId="7" fillId="0" borderId="20" xfId="0" applyFont="1" applyFill="1" applyBorder="1" applyAlignment="1">
      <alignment vertical="center"/>
    </xf>
    <xf numFmtId="0" fontId="7" fillId="0" borderId="21" xfId="0" applyFont="1" applyFill="1" applyBorder="1" applyAlignment="1">
      <alignment vertical="center"/>
    </xf>
    <xf numFmtId="0" fontId="7" fillId="0" borderId="12" xfId="0" applyFont="1" applyFill="1" applyBorder="1" applyAlignment="1">
      <alignment vertical="center"/>
    </xf>
    <xf numFmtId="0" fontId="6" fillId="0" borderId="1" xfId="0" applyFont="1" applyBorder="1" applyAlignment="1">
      <alignment horizontal="center" vertical="center"/>
    </xf>
    <xf numFmtId="0" fontId="6" fillId="0" borderId="90" xfId="0" applyFont="1" applyBorder="1" applyAlignment="1">
      <alignment horizontal="center" vertical="center"/>
    </xf>
    <xf numFmtId="0" fontId="78" fillId="0" borderId="83" xfId="0" applyFont="1" applyBorder="1" applyAlignment="1">
      <alignment vertical="center" wrapText="1"/>
    </xf>
    <xf numFmtId="0" fontId="6" fillId="0" borderId="29" xfId="0" applyFont="1" applyBorder="1" applyAlignment="1">
      <alignment horizontal="distributed" vertical="center"/>
    </xf>
    <xf numFmtId="0" fontId="6" fillId="0" borderId="4" xfId="0" applyFont="1" applyBorder="1" applyAlignment="1">
      <alignment horizontal="distributed" vertical="center"/>
    </xf>
    <xf numFmtId="0" fontId="78" fillId="0" borderId="102" xfId="0" applyFont="1" applyBorder="1" applyAlignment="1">
      <alignment vertical="center" wrapText="1"/>
    </xf>
    <xf numFmtId="0" fontId="78" fillId="0" borderId="92" xfId="0" applyFont="1" applyBorder="1" applyAlignment="1">
      <alignment vertical="center" wrapText="1"/>
    </xf>
    <xf numFmtId="0" fontId="7" fillId="0" borderId="22"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0" xfId="0" applyFont="1" applyFill="1" applyAlignment="1">
      <alignment horizontal="right"/>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0" xfId="0" applyFont="1" applyFill="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0" xfId="0" applyFont="1"/>
    <xf numFmtId="0" fontId="6" fillId="0" borderId="25" xfId="0" applyFont="1" applyBorder="1" applyAlignment="1">
      <alignment horizontal="center" vertical="center"/>
    </xf>
    <xf numFmtId="0" fontId="79" fillId="0" borderId="0" xfId="0" applyFont="1"/>
    <xf numFmtId="0" fontId="78" fillId="0" borderId="0" xfId="0" applyFont="1"/>
    <xf numFmtId="0" fontId="6" fillId="0" borderId="4" xfId="0" applyFont="1" applyBorder="1" applyAlignment="1">
      <alignment horizontal="distributed" vertical="center" wrapText="1"/>
    </xf>
    <xf numFmtId="0" fontId="6" fillId="0" borderId="34" xfId="0" applyFont="1" applyBorder="1" applyAlignment="1">
      <alignment vertical="center" wrapText="1"/>
    </xf>
    <xf numFmtId="0" fontId="6" fillId="0" borderId="27" xfId="0" applyFont="1" applyBorder="1" applyAlignment="1">
      <alignment horizontal="distributed" vertical="center"/>
    </xf>
    <xf numFmtId="0" fontId="6" fillId="0" borderId="32" xfId="0" applyFont="1" applyBorder="1" applyAlignment="1">
      <alignment vertical="center" wrapText="1"/>
    </xf>
    <xf numFmtId="0" fontId="6" fillId="0" borderId="7" xfId="0" applyFont="1" applyBorder="1" applyAlignment="1">
      <alignment horizontal="distributed" vertical="center" wrapText="1"/>
    </xf>
    <xf numFmtId="0" fontId="6" fillId="0" borderId="49" xfId="0" applyFont="1" applyBorder="1" applyAlignment="1">
      <alignment vertical="center" wrapText="1"/>
    </xf>
    <xf numFmtId="179" fontId="20" fillId="0" borderId="19" xfId="12" applyNumberFormat="1" applyFont="1" applyFill="1" applyBorder="1">
      <alignment vertical="center"/>
    </xf>
    <xf numFmtId="195" fontId="7" fillId="0" borderId="19" xfId="0" applyNumberFormat="1" applyFont="1" applyFill="1" applyBorder="1" applyAlignment="1">
      <alignment vertical="center"/>
    </xf>
    <xf numFmtId="195" fontId="7" fillId="0" borderId="20" xfId="0" applyNumberFormat="1" applyFont="1" applyFill="1" applyBorder="1" applyAlignment="1">
      <alignment vertical="center"/>
    </xf>
    <xf numFmtId="195" fontId="7" fillId="0" borderId="21" xfId="0" applyNumberFormat="1" applyFont="1" applyFill="1" applyBorder="1" applyAlignment="1">
      <alignment vertical="center"/>
    </xf>
    <xf numFmtId="195" fontId="7" fillId="0" borderId="21" xfId="0" applyNumberFormat="1" applyFont="1" applyFill="1" applyBorder="1" applyAlignment="1">
      <alignment vertical="center" shrinkToFit="1"/>
    </xf>
    <xf numFmtId="195" fontId="7" fillId="0" borderId="12" xfId="0" applyNumberFormat="1" applyFont="1" applyFill="1" applyBorder="1" applyAlignment="1">
      <alignment vertical="center"/>
    </xf>
    <xf numFmtId="49" fontId="7" fillId="0" borderId="11" xfId="0" applyNumberFormat="1" applyFont="1" applyFill="1" applyBorder="1" applyAlignment="1">
      <alignment horizontal="center" vertical="center"/>
    </xf>
    <xf numFmtId="180" fontId="7" fillId="0" borderId="21" xfId="0" applyNumberFormat="1" applyFont="1" applyFill="1" applyBorder="1" applyAlignment="1">
      <alignment vertical="center"/>
    </xf>
    <xf numFmtId="195" fontId="7" fillId="0" borderId="21" xfId="0" applyNumberFormat="1" applyFont="1" applyFill="1" applyBorder="1" applyAlignment="1">
      <alignment horizontal="right" vertical="center"/>
    </xf>
    <xf numFmtId="179" fontId="7" fillId="0" borderId="12" xfId="0" applyNumberFormat="1" applyFont="1" applyFill="1" applyBorder="1" applyAlignment="1">
      <alignment horizontal="right" vertical="center"/>
    </xf>
    <xf numFmtId="49" fontId="7" fillId="0" borderId="0" xfId="0" applyNumberFormat="1" applyFont="1" applyFill="1" applyAlignment="1">
      <alignment horizontal="center" vertical="center"/>
    </xf>
    <xf numFmtId="0" fontId="7" fillId="0" borderId="27" xfId="0" applyFont="1" applyFill="1" applyBorder="1" applyAlignment="1">
      <alignment horizontal="right" vertical="center"/>
    </xf>
    <xf numFmtId="3" fontId="7" fillId="0" borderId="11" xfId="0" applyNumberFormat="1" applyFont="1" applyFill="1" applyBorder="1" applyAlignment="1">
      <alignment vertical="center"/>
    </xf>
    <xf numFmtId="49" fontId="7" fillId="0" borderId="29" xfId="0" applyNumberFormat="1" applyFont="1" applyFill="1" applyBorder="1" applyAlignment="1">
      <alignment horizontal="center" vertical="center"/>
    </xf>
    <xf numFmtId="179" fontId="7" fillId="0" borderId="31" xfId="0" applyNumberFormat="1" applyFont="1" applyFill="1" applyBorder="1" applyAlignment="1">
      <alignment vertical="center"/>
    </xf>
    <xf numFmtId="195" fontId="7" fillId="0" borderId="30" xfId="0" applyNumberFormat="1" applyFont="1" applyFill="1" applyBorder="1" applyAlignment="1">
      <alignment vertical="center"/>
    </xf>
    <xf numFmtId="195" fontId="7" fillId="0" borderId="31" xfId="0" applyNumberFormat="1" applyFont="1" applyFill="1" applyBorder="1" applyAlignment="1">
      <alignment vertical="center"/>
    </xf>
    <xf numFmtId="180" fontId="7" fillId="0" borderId="31" xfId="0" applyNumberFormat="1" applyFont="1" applyFill="1" applyBorder="1" applyAlignment="1">
      <alignment vertical="center"/>
    </xf>
    <xf numFmtId="195" fontId="7" fillId="0" borderId="31" xfId="0" applyNumberFormat="1" applyFont="1" applyFill="1" applyBorder="1" applyAlignment="1">
      <alignment horizontal="right" vertical="center"/>
    </xf>
    <xf numFmtId="179" fontId="7" fillId="0" borderId="30" xfId="0" applyNumberFormat="1" applyFont="1" applyFill="1" applyBorder="1" applyAlignment="1">
      <alignment horizontal="right" vertical="center"/>
    </xf>
    <xf numFmtId="0" fontId="7" fillId="0" borderId="31" xfId="0" applyFont="1" applyFill="1" applyBorder="1" applyAlignment="1">
      <alignment vertical="center"/>
    </xf>
    <xf numFmtId="3" fontId="7" fillId="0" borderId="29" xfId="0" applyNumberFormat="1" applyFont="1" applyFill="1" applyBorder="1" applyAlignment="1">
      <alignment vertical="center"/>
    </xf>
    <xf numFmtId="0" fontId="7" fillId="0" borderId="31" xfId="1" applyFont="1" applyBorder="1" applyAlignment="1">
      <alignment horizontal="center" vertical="center"/>
    </xf>
    <xf numFmtId="0" fontId="3" fillId="0" borderId="0" xfId="1" applyFont="1" applyAlignment="1">
      <alignment vertical="center"/>
    </xf>
    <xf numFmtId="0" fontId="7" fillId="0" borderId="0" xfId="1" applyFont="1" applyAlignment="1">
      <alignment horizontal="right"/>
    </xf>
    <xf numFmtId="38" fontId="7" fillId="0" borderId="19" xfId="2" applyFont="1" applyBorder="1" applyAlignment="1">
      <alignment horizontal="right" vertical="center"/>
    </xf>
    <xf numFmtId="38" fontId="7" fillId="0" borderId="18" xfId="2"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0" xfId="0" applyFont="1" applyAlignment="1">
      <alignment vertical="center"/>
    </xf>
    <xf numFmtId="0" fontId="7" fillId="0" borderId="4" xfId="0" applyFont="1" applyBorder="1" applyAlignment="1">
      <alignment horizontal="center" vertical="center"/>
    </xf>
    <xf numFmtId="0" fontId="3" fillId="0" borderId="0" xfId="0" applyFont="1" applyAlignment="1">
      <alignment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right"/>
    </xf>
    <xf numFmtId="0" fontId="7" fillId="0" borderId="0" xfId="0" applyFont="1" applyFill="1" applyAlignment="1">
      <alignment horizontal="right"/>
    </xf>
    <xf numFmtId="0" fontId="7" fillId="0" borderId="29" xfId="0" applyFont="1" applyFill="1" applyBorder="1" applyAlignment="1">
      <alignment horizontal="distributed" vertical="center" justifyLastLine="1"/>
    </xf>
    <xf numFmtId="0" fontId="7" fillId="0" borderId="23" xfId="0" applyFont="1" applyFill="1" applyBorder="1" applyAlignment="1">
      <alignment horizontal="distributed" vertical="center" justifyLastLine="1"/>
    </xf>
    <xf numFmtId="0" fontId="7" fillId="0" borderId="31" xfId="0" applyFont="1" applyFill="1" applyBorder="1" applyAlignment="1">
      <alignment horizontal="distributed" vertical="center" justifyLastLine="1"/>
    </xf>
    <xf numFmtId="0" fontId="7" fillId="0" borderId="0" xfId="0" applyFont="1" applyAlignment="1">
      <alignment horizontal="distributed" vertical="center"/>
    </xf>
    <xf numFmtId="0" fontId="7" fillId="0" borderId="0" xfId="0" applyFont="1" applyFill="1" applyAlignment="1">
      <alignment horizontal="center" vertical="center"/>
    </xf>
    <xf numFmtId="0" fontId="7" fillId="0" borderId="6"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2" xfId="0" applyFont="1" applyFill="1" applyBorder="1" applyAlignment="1">
      <alignment vertical="center"/>
    </xf>
    <xf numFmtId="0" fontId="7" fillId="0" borderId="18" xfId="0" applyFont="1" applyFill="1" applyBorder="1" applyAlignment="1">
      <alignment horizontal="left" vertical="center"/>
    </xf>
    <xf numFmtId="194" fontId="7" fillId="0" borderId="19" xfId="0" applyNumberFormat="1" applyFont="1" applyFill="1" applyBorder="1" applyAlignment="1">
      <alignment horizontal="right" vertical="center"/>
    </xf>
    <xf numFmtId="194" fontId="7" fillId="0" borderId="0" xfId="0" applyNumberFormat="1" applyFont="1" applyFill="1" applyAlignment="1">
      <alignment horizontal="right" vertical="center"/>
    </xf>
    <xf numFmtId="179" fontId="7" fillId="0" borderId="30" xfId="0" applyNumberFormat="1" applyFont="1" applyFill="1" applyBorder="1" applyAlignment="1">
      <alignment vertical="center"/>
    </xf>
    <xf numFmtId="0" fontId="7" fillId="0" borderId="29" xfId="0" applyFont="1" applyFill="1" applyBorder="1" applyAlignment="1">
      <alignment horizontal="left" vertical="center"/>
    </xf>
    <xf numFmtId="194" fontId="7" fillId="0" borderId="31" xfId="0" applyNumberFormat="1" applyFont="1" applyFill="1" applyBorder="1" applyAlignment="1">
      <alignment horizontal="right" vertical="center"/>
    </xf>
    <xf numFmtId="194" fontId="7" fillId="0" borderId="33" xfId="0" applyNumberFormat="1" applyFont="1" applyFill="1" applyBorder="1" applyAlignment="1">
      <alignment horizontal="right" vertical="center"/>
    </xf>
    <xf numFmtId="179" fontId="7" fillId="0" borderId="26" xfId="0" applyNumberFormat="1" applyFont="1" applyFill="1" applyBorder="1" applyAlignment="1">
      <alignment vertical="center"/>
    </xf>
    <xf numFmtId="179" fontId="7" fillId="0" borderId="20" xfId="0" applyNumberFormat="1" applyFont="1" applyFill="1" applyBorder="1" applyAlignment="1">
      <alignment horizontal="right" vertical="center"/>
    </xf>
    <xf numFmtId="0" fontId="7" fillId="0" borderId="27" xfId="0" applyFont="1" applyFill="1" applyBorder="1" applyAlignment="1">
      <alignment horizontal="left" vertical="center"/>
    </xf>
    <xf numFmtId="237" fontId="21" fillId="0" borderId="26" xfId="1" applyNumberFormat="1" applyFont="1" applyFill="1" applyBorder="1" applyAlignment="1">
      <alignment horizontal="right"/>
    </xf>
    <xf numFmtId="237" fontId="21" fillId="0" borderId="20" xfId="1" applyNumberFormat="1" applyFont="1" applyFill="1" applyBorder="1" applyAlignment="1">
      <alignment horizontal="right"/>
    </xf>
    <xf numFmtId="179" fontId="7" fillId="0" borderId="31" xfId="0" applyNumberFormat="1" applyFont="1" applyFill="1" applyBorder="1" applyAlignment="1">
      <alignment horizontal="right" vertical="center"/>
    </xf>
    <xf numFmtId="3" fontId="81" fillId="0" borderId="0" xfId="1" applyNumberFormat="1" applyFont="1" applyFill="1" applyAlignment="1">
      <alignment horizontal="right" vertical="center"/>
    </xf>
    <xf numFmtId="3" fontId="21" fillId="0" borderId="0" xfId="1" applyNumberFormat="1" applyFont="1" applyFill="1" applyAlignment="1">
      <alignment horizontal="right" vertical="center"/>
    </xf>
    <xf numFmtId="0" fontId="7" fillId="0" borderId="11" xfId="0" applyFont="1" applyFill="1" applyBorder="1" applyAlignment="1">
      <alignment horizontal="left" vertical="center"/>
    </xf>
    <xf numFmtId="194" fontId="7" fillId="0" borderId="10" xfId="0" applyNumberFormat="1" applyFont="1" applyFill="1" applyBorder="1" applyAlignment="1">
      <alignment horizontal="right" vertical="center"/>
    </xf>
    <xf numFmtId="3" fontId="7" fillId="0" borderId="0" xfId="0" applyNumberFormat="1" applyFont="1" applyFill="1" applyAlignment="1">
      <alignment vertical="center"/>
    </xf>
    <xf numFmtId="179" fontId="7" fillId="0" borderId="28" xfId="0" applyNumberFormat="1" applyFont="1" applyFill="1" applyBorder="1" applyAlignment="1">
      <alignment vertical="center"/>
    </xf>
    <xf numFmtId="0" fontId="0" fillId="0" borderId="20" xfId="0" applyFill="1" applyBorder="1" applyAlignment="1">
      <alignment vertical="top"/>
    </xf>
    <xf numFmtId="0" fontId="7" fillId="0" borderId="5" xfId="0" applyFont="1" applyFill="1" applyBorder="1" applyAlignment="1">
      <alignment vertical="center"/>
    </xf>
    <xf numFmtId="0" fontId="0" fillId="0" borderId="30" xfId="0" applyFill="1" applyBorder="1" applyAlignment="1">
      <alignment vertical="top"/>
    </xf>
    <xf numFmtId="0" fontId="0" fillId="0" borderId="12" xfId="0" applyFill="1" applyBorder="1" applyAlignment="1">
      <alignment vertical="top"/>
    </xf>
    <xf numFmtId="0" fontId="7" fillId="0" borderId="8" xfId="0" applyFont="1" applyFill="1" applyBorder="1" applyAlignment="1">
      <alignment vertical="center"/>
    </xf>
    <xf numFmtId="195" fontId="7" fillId="0" borderId="0" xfId="0" applyNumberFormat="1" applyFont="1" applyFill="1" applyAlignment="1">
      <alignment vertical="center"/>
    </xf>
    <xf numFmtId="192" fontId="7" fillId="0" borderId="18" xfId="2" applyNumberFormat="1" applyFont="1" applyBorder="1" applyAlignment="1">
      <alignment horizontal="center" vertical="center"/>
    </xf>
    <xf numFmtId="192" fontId="7" fillId="0" borderId="21" xfId="2" applyNumberFormat="1" applyFont="1" applyBorder="1" applyAlignment="1">
      <alignment horizontal="center" vertical="center"/>
    </xf>
    <xf numFmtId="192" fontId="7" fillId="0" borderId="12" xfId="2" applyNumberFormat="1" applyFont="1" applyBorder="1" applyAlignment="1">
      <alignment horizontal="center" vertical="center"/>
    </xf>
    <xf numFmtId="0" fontId="7" fillId="0" borderId="26" xfId="0" applyFont="1" applyFill="1" applyBorder="1" applyAlignment="1">
      <alignment horizontal="center" vertical="center" shrinkToFit="1"/>
    </xf>
    <xf numFmtId="0" fontId="29" fillId="0" borderId="28" xfId="0" applyFont="1" applyFill="1" applyBorder="1" applyAlignment="1">
      <alignment horizontal="center" vertical="center" wrapText="1"/>
    </xf>
    <xf numFmtId="0" fontId="7" fillId="0" borderId="28" xfId="0" applyFont="1" applyFill="1" applyBorder="1" applyAlignment="1">
      <alignment horizontal="center" vertical="center" shrinkToFit="1"/>
    </xf>
    <xf numFmtId="38" fontId="7" fillId="0" borderId="4" xfId="2" applyFont="1" applyFill="1" applyBorder="1" applyAlignment="1">
      <alignment horizontal="center" vertical="center"/>
    </xf>
    <xf numFmtId="38" fontId="7" fillId="0" borderId="6" xfId="2" applyFont="1" applyFill="1" applyBorder="1" applyAlignment="1">
      <alignment horizontal="center" vertical="center"/>
    </xf>
    <xf numFmtId="38" fontId="7" fillId="0" borderId="34" xfId="2" applyFont="1" applyFill="1" applyBorder="1" applyAlignment="1">
      <alignment horizontal="center" vertical="center"/>
    </xf>
    <xf numFmtId="38" fontId="7" fillId="0" borderId="0" xfId="2" applyFont="1" applyFill="1" applyBorder="1" applyAlignment="1">
      <alignment horizontal="left" vertical="center"/>
    </xf>
    <xf numFmtId="0" fontId="7" fillId="0" borderId="0" xfId="0" applyFont="1" applyFill="1" applyBorder="1" applyAlignment="1">
      <alignment vertical="center"/>
    </xf>
    <xf numFmtId="237" fontId="21" fillId="0" borderId="20" xfId="1" applyNumberFormat="1" applyFont="1" applyFill="1" applyBorder="1" applyAlignment="1">
      <alignment horizontal="right" vertical="center"/>
    </xf>
    <xf numFmtId="179" fontId="7" fillId="0" borderId="20" xfId="0" applyNumberFormat="1" applyFont="1" applyFill="1" applyBorder="1" applyAlignment="1">
      <alignment horizontal="center" vertical="center"/>
    </xf>
    <xf numFmtId="180" fontId="7" fillId="0" borderId="6" xfId="2" applyNumberFormat="1" applyFont="1" applyFill="1" applyBorder="1" applyAlignment="1">
      <alignment vertical="center"/>
    </xf>
    <xf numFmtId="195" fontId="7" fillId="0" borderId="4" xfId="0" applyNumberFormat="1" applyFont="1" applyFill="1" applyBorder="1" applyAlignment="1">
      <alignment horizontal="center" vertical="center"/>
    </xf>
    <xf numFmtId="180" fontId="7" fillId="0" borderId="5" xfId="0" applyNumberFormat="1" applyFont="1" applyFill="1" applyBorder="1" applyAlignment="1">
      <alignment vertical="center"/>
    </xf>
    <xf numFmtId="180" fontId="7" fillId="0" borderId="6" xfId="0" applyNumberFormat="1" applyFont="1" applyFill="1" applyBorder="1" applyAlignment="1">
      <alignment vertical="center"/>
    </xf>
    <xf numFmtId="199" fontId="7" fillId="0" borderId="4" xfId="0" applyNumberFormat="1" applyFont="1" applyFill="1" applyBorder="1" applyAlignment="1">
      <alignment horizontal="center" vertical="center"/>
    </xf>
    <xf numFmtId="209" fontId="7" fillId="0" borderId="6" xfId="0" applyNumberFormat="1" applyFont="1" applyFill="1" applyBorder="1" applyAlignment="1">
      <alignment vertical="center"/>
    </xf>
    <xf numFmtId="209" fontId="7" fillId="0" borderId="4" xfId="0" applyNumberFormat="1" applyFont="1" applyFill="1" applyBorder="1" applyAlignment="1">
      <alignment horizontal="center" vertical="center"/>
    </xf>
    <xf numFmtId="209" fontId="7" fillId="0" borderId="5" xfId="0" applyNumberFormat="1" applyFont="1" applyFill="1" applyBorder="1" applyAlignment="1">
      <alignment vertical="center"/>
    </xf>
    <xf numFmtId="209" fontId="7" fillId="0" borderId="0" xfId="0" applyNumberFormat="1" applyFont="1" applyFill="1" applyAlignment="1">
      <alignment vertical="center"/>
    </xf>
    <xf numFmtId="209" fontId="7" fillId="0" borderId="9" xfId="0" applyNumberFormat="1" applyFont="1" applyFill="1" applyBorder="1" applyAlignment="1">
      <alignment vertical="center"/>
    </xf>
    <xf numFmtId="209" fontId="7" fillId="0" borderId="7" xfId="0" applyNumberFormat="1" applyFont="1" applyFill="1" applyBorder="1" applyAlignment="1">
      <alignment horizontal="center" vertical="center"/>
    </xf>
    <xf numFmtId="209" fontId="7" fillId="0" borderId="8" xfId="0" applyNumberFormat="1" applyFont="1" applyFill="1" applyBorder="1" applyAlignment="1">
      <alignment vertical="center"/>
    </xf>
    <xf numFmtId="195" fontId="6" fillId="0" borderId="0" xfId="0" applyNumberFormat="1" applyFont="1" applyFill="1" applyAlignment="1">
      <alignment vertical="center"/>
    </xf>
    <xf numFmtId="184" fontId="7" fillId="0" borderId="44" xfId="1" applyNumberFormat="1" applyFont="1" applyFill="1" applyBorder="1" applyAlignment="1">
      <alignment horizontal="center" vertical="center"/>
    </xf>
    <xf numFmtId="38" fontId="7" fillId="0" borderId="42" xfId="2" applyFont="1" applyFill="1" applyBorder="1" applyAlignment="1">
      <alignment horizontal="center" vertical="center"/>
    </xf>
    <xf numFmtId="184" fontId="7" fillId="0" borderId="43" xfId="1" applyNumberFormat="1" applyFont="1" applyFill="1" applyBorder="1" applyAlignment="1">
      <alignment horizontal="center" vertical="center"/>
    </xf>
    <xf numFmtId="0" fontId="7" fillId="0" borderId="54" xfId="1" applyFont="1" applyBorder="1" applyAlignment="1">
      <alignment horizontal="center" vertical="center"/>
    </xf>
    <xf numFmtId="0" fontId="7" fillId="0" borderId="55" xfId="1" applyFont="1" applyBorder="1" applyAlignment="1">
      <alignment horizontal="center" vertical="center"/>
    </xf>
    <xf numFmtId="0" fontId="7" fillId="0" borderId="56" xfId="1" applyFont="1" applyBorder="1" applyAlignment="1">
      <alignment horizontal="center" vertical="center"/>
    </xf>
    <xf numFmtId="0" fontId="7" fillId="0" borderId="59" xfId="1" applyFont="1" applyBorder="1" applyAlignment="1">
      <alignment horizontal="center" vertical="center"/>
    </xf>
    <xf numFmtId="195" fontId="7" fillId="0" borderId="61" xfId="1" applyNumberFormat="1" applyFont="1" applyBorder="1" applyAlignment="1">
      <alignment vertical="center"/>
    </xf>
    <xf numFmtId="202" fontId="7" fillId="0" borderId="61" xfId="1" applyNumberFormat="1" applyFont="1" applyBorder="1" applyAlignment="1">
      <alignment vertical="center"/>
    </xf>
    <xf numFmtId="202" fontId="7" fillId="0" borderId="62" xfId="1" applyNumberFormat="1" applyFont="1" applyBorder="1" applyAlignment="1">
      <alignment vertical="center"/>
    </xf>
    <xf numFmtId="203" fontId="7" fillId="0" borderId="61" xfId="1" applyNumberFormat="1" applyFont="1" applyBorder="1" applyAlignment="1">
      <alignment vertical="center"/>
    </xf>
    <xf numFmtId="204" fontId="7" fillId="0" borderId="61" xfId="1" applyNumberFormat="1" applyFont="1" applyBorder="1" applyAlignment="1">
      <alignment vertical="center"/>
    </xf>
    <xf numFmtId="204" fontId="7" fillId="0" borderId="62" xfId="1" applyNumberFormat="1" applyFont="1" applyBorder="1" applyAlignment="1">
      <alignment vertical="center"/>
    </xf>
    <xf numFmtId="0" fontId="7" fillId="0" borderId="62" xfId="1" applyFont="1" applyBorder="1" applyAlignment="1">
      <alignment horizontal="center" vertical="center"/>
    </xf>
    <xf numFmtId="0" fontId="7" fillId="0" borderId="66" xfId="1" applyFont="1" applyBorder="1" applyAlignment="1">
      <alignment horizontal="center" vertical="center"/>
    </xf>
    <xf numFmtId="203" fontId="7" fillId="0" borderId="61" xfId="1" applyNumberFormat="1" applyFont="1" applyBorder="1" applyAlignment="1">
      <alignment horizontal="right" vertical="center"/>
    </xf>
    <xf numFmtId="203" fontId="9" fillId="0" borderId="0" xfId="1" applyNumberFormat="1" applyFont="1"/>
    <xf numFmtId="176" fontId="7" fillId="0" borderId="61" xfId="4" applyNumberFormat="1" applyFont="1" applyFill="1" applyBorder="1" applyAlignment="1">
      <alignment vertical="center"/>
    </xf>
    <xf numFmtId="195" fontId="7" fillId="0" borderId="61" xfId="1" applyNumberFormat="1" applyFont="1" applyBorder="1" applyAlignment="1">
      <alignment horizontal="center" vertical="center"/>
    </xf>
    <xf numFmtId="0" fontId="7" fillId="0" borderId="69" xfId="1" applyFont="1" applyFill="1" applyBorder="1" applyAlignment="1">
      <alignment horizontal="center" vertical="center"/>
    </xf>
    <xf numFmtId="195" fontId="7" fillId="0" borderId="70" xfId="1" applyNumberFormat="1" applyFont="1" applyFill="1" applyBorder="1" applyAlignment="1">
      <alignment vertical="center"/>
    </xf>
    <xf numFmtId="202" fontId="7" fillId="0" borderId="70" xfId="1" applyNumberFormat="1" applyFont="1" applyFill="1" applyBorder="1" applyAlignment="1">
      <alignment vertical="center"/>
    </xf>
    <xf numFmtId="202" fontId="7" fillId="0" borderId="69" xfId="1" applyNumberFormat="1" applyFont="1" applyFill="1" applyBorder="1" applyAlignment="1">
      <alignment vertical="center"/>
    </xf>
    <xf numFmtId="0" fontId="66"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distributed" vertical="center" wrapText="1"/>
    </xf>
    <xf numFmtId="0" fontId="11" fillId="0" borderId="83" xfId="0" applyFont="1" applyBorder="1" applyAlignment="1">
      <alignment horizontal="center" vertical="center" wrapText="1"/>
    </xf>
    <xf numFmtId="0" fontId="11" fillId="0" borderId="84" xfId="0" applyFont="1" applyBorder="1" applyAlignment="1">
      <alignment vertical="center"/>
    </xf>
    <xf numFmtId="0" fontId="11" fillId="0" borderId="28" xfId="0" applyFont="1" applyBorder="1" applyAlignment="1">
      <alignment horizontal="right" vertical="center"/>
    </xf>
    <xf numFmtId="0" fontId="11" fillId="0" borderId="85" xfId="0" applyFont="1" applyBorder="1" applyAlignment="1">
      <alignment horizontal="right" vertical="center"/>
    </xf>
    <xf numFmtId="0" fontId="11" fillId="0" borderId="41" xfId="0" applyFont="1" applyBorder="1" applyAlignment="1">
      <alignment horizontal="center" vertical="center"/>
    </xf>
    <xf numFmtId="38" fontId="11" fillId="0" borderId="19" xfId="2" applyFont="1" applyBorder="1" applyAlignment="1">
      <alignment vertical="center"/>
    </xf>
    <xf numFmtId="38" fontId="11" fillId="0" borderId="19" xfId="2" applyFont="1" applyBorder="1" applyAlignment="1">
      <alignment horizontal="right" vertical="center"/>
    </xf>
    <xf numFmtId="38" fontId="11" fillId="0" borderId="86" xfId="2" applyFont="1" applyBorder="1" applyAlignment="1">
      <alignment vertical="center"/>
    </xf>
    <xf numFmtId="0" fontId="11" fillId="0" borderId="45" xfId="0" applyFont="1" applyBorder="1" applyAlignment="1">
      <alignment horizontal="center" vertical="center"/>
    </xf>
    <xf numFmtId="38" fontId="11" fillId="0" borderId="21" xfId="2" applyFont="1" applyBorder="1" applyAlignment="1">
      <alignment vertical="center"/>
    </xf>
    <xf numFmtId="38" fontId="11" fillId="0" borderId="21" xfId="2" applyFont="1" applyBorder="1" applyAlignment="1">
      <alignment horizontal="right" vertical="center"/>
    </xf>
    <xf numFmtId="38" fontId="11" fillId="0" borderId="87" xfId="2" applyFont="1" applyBorder="1" applyAlignment="1">
      <alignment vertical="center"/>
    </xf>
    <xf numFmtId="0" fontId="11" fillId="0" borderId="88" xfId="0" applyFont="1" applyBorder="1" applyAlignment="1">
      <alignment horizontal="right" vertical="center"/>
    </xf>
    <xf numFmtId="0" fontId="7" fillId="0" borderId="89" xfId="0" applyFont="1" applyBorder="1" applyAlignment="1">
      <alignment horizontal="center" vertical="center"/>
    </xf>
    <xf numFmtId="38" fontId="7" fillId="0" borderId="20" xfId="2" applyFont="1" applyBorder="1" applyAlignment="1">
      <alignment vertical="center" wrapText="1"/>
    </xf>
    <xf numFmtId="38" fontId="7" fillId="0" borderId="43" xfId="2" applyFont="1" applyBorder="1" applyAlignment="1">
      <alignment horizontal="right" vertical="center"/>
    </xf>
    <xf numFmtId="38" fontId="7" fillId="0" borderId="12" xfId="2" applyFont="1" applyBorder="1" applyAlignment="1">
      <alignment vertical="center" wrapText="1"/>
    </xf>
    <xf numFmtId="38" fontId="7" fillId="0" borderId="48" xfId="2" applyFont="1" applyBorder="1" applyAlignment="1">
      <alignment horizontal="right" vertical="center"/>
    </xf>
    <xf numFmtId="0" fontId="7" fillId="0" borderId="24" xfId="0" applyFont="1" applyFill="1" applyBorder="1" applyAlignment="1">
      <alignment horizontal="distributed" vertical="center" justifyLastLine="1"/>
    </xf>
    <xf numFmtId="0" fontId="7" fillId="0" borderId="33" xfId="0" applyFont="1" applyFill="1" applyBorder="1" applyAlignment="1">
      <alignment horizontal="distributed" vertical="center" justifyLastLine="1"/>
    </xf>
    <xf numFmtId="192" fontId="7" fillId="0" borderId="20" xfId="2" applyNumberFormat="1" applyFont="1" applyFill="1" applyBorder="1" applyAlignment="1">
      <alignment horizontal="center" vertical="center"/>
    </xf>
    <xf numFmtId="195" fontId="9" fillId="0" borderId="28" xfId="10" applyNumberFormat="1" applyFont="1" applyFill="1" applyBorder="1" applyAlignment="1">
      <alignment vertical="center"/>
    </xf>
    <xf numFmtId="0" fontId="12" fillId="0" borderId="0" xfId="10" applyFont="1" applyFill="1" applyAlignment="1">
      <alignment vertical="center"/>
    </xf>
    <xf numFmtId="0" fontId="9" fillId="0" borderId="0" xfId="10" applyFont="1" applyFill="1" applyAlignment="1">
      <alignment vertical="center"/>
    </xf>
    <xf numFmtId="0" fontId="9" fillId="0" borderId="0" xfId="10" applyFont="1" applyFill="1" applyAlignment="1">
      <alignment horizontal="right"/>
    </xf>
    <xf numFmtId="0" fontId="9" fillId="0" borderId="5" xfId="10" applyFont="1" applyFill="1" applyBorder="1" applyAlignment="1">
      <alignment horizontal="center" vertical="center"/>
    </xf>
    <xf numFmtId="0" fontId="9" fillId="0" borderId="54" xfId="10" applyFont="1" applyFill="1" applyBorder="1" applyAlignment="1">
      <alignment horizontal="center" vertical="center"/>
    </xf>
    <xf numFmtId="195" fontId="9" fillId="0" borderId="55" xfId="10" applyNumberFormat="1" applyFont="1" applyFill="1" applyBorder="1" applyAlignment="1">
      <alignment vertical="center"/>
    </xf>
    <xf numFmtId="195" fontId="9" fillId="0" borderId="54" xfId="10" applyNumberFormat="1" applyFont="1" applyFill="1" applyBorder="1" applyAlignment="1">
      <alignment horizontal="right" vertical="center"/>
    </xf>
    <xf numFmtId="195" fontId="9" fillId="0" borderId="55" xfId="10" applyNumberFormat="1" applyFont="1" applyFill="1" applyBorder="1" applyAlignment="1">
      <alignment horizontal="right" vertical="center"/>
    </xf>
    <xf numFmtId="0" fontId="9" fillId="0" borderId="0" xfId="10" applyFont="1" applyFill="1" applyAlignment="1">
      <alignment horizontal="right" vertical="center"/>
    </xf>
    <xf numFmtId="225" fontId="7" fillId="0" borderId="3" xfId="2" applyNumberFormat="1" applyFont="1" applyFill="1" applyBorder="1" applyAlignment="1">
      <alignment horizontal="center" vertical="center"/>
    </xf>
    <xf numFmtId="0" fontId="7" fillId="0" borderId="3" xfId="2" applyNumberFormat="1" applyFont="1" applyFill="1" applyBorder="1" applyAlignment="1">
      <alignment horizontal="center" vertical="center"/>
    </xf>
    <xf numFmtId="0" fontId="7" fillId="0" borderId="3" xfId="2" applyNumberFormat="1" applyFont="1" applyFill="1" applyBorder="1" applyAlignment="1">
      <alignment horizontal="center" vertical="center" wrapText="1"/>
    </xf>
    <xf numFmtId="225" fontId="7" fillId="0" borderId="26" xfId="2" applyNumberFormat="1" applyFont="1" applyFill="1" applyBorder="1" applyAlignment="1">
      <alignment horizontal="right" vertical="center"/>
    </xf>
    <xf numFmtId="0" fontId="7" fillId="0" borderId="26" xfId="2" applyNumberFormat="1" applyFont="1" applyFill="1" applyBorder="1" applyAlignment="1">
      <alignment horizontal="right" vertical="center"/>
    </xf>
    <xf numFmtId="225" fontId="7" fillId="0" borderId="6" xfId="2" applyNumberFormat="1" applyFont="1" applyFill="1" applyBorder="1" applyAlignment="1">
      <alignment horizontal="center" vertical="center"/>
    </xf>
    <xf numFmtId="238" fontId="7" fillId="0" borderId="6" xfId="2" applyNumberFormat="1" applyFont="1" applyFill="1" applyBorder="1" applyAlignment="1">
      <alignment horizontal="center" vertical="center"/>
    </xf>
    <xf numFmtId="225" fontId="7" fillId="0" borderId="8" xfId="2" applyNumberFormat="1" applyFont="1" applyFill="1" applyBorder="1" applyAlignment="1">
      <alignment horizontal="center" vertical="center"/>
    </xf>
    <xf numFmtId="38" fontId="7" fillId="0" borderId="8" xfId="2" applyFont="1" applyFill="1" applyBorder="1" applyAlignment="1">
      <alignment horizontal="center" vertical="center"/>
    </xf>
    <xf numFmtId="238" fontId="7" fillId="0" borderId="9" xfId="2" applyNumberFormat="1" applyFont="1" applyFill="1" applyBorder="1" applyAlignment="1">
      <alignment horizontal="center" vertical="center"/>
    </xf>
    <xf numFmtId="38" fontId="11" fillId="0" borderId="19" xfId="2" applyFont="1" applyFill="1" applyBorder="1" applyAlignment="1">
      <alignment horizontal="center" vertical="center"/>
    </xf>
    <xf numFmtId="38" fontId="11" fillId="0" borderId="20" xfId="2" applyFont="1" applyFill="1" applyBorder="1" applyAlignment="1">
      <alignment horizontal="right" vertical="center"/>
    </xf>
    <xf numFmtId="203" fontId="11" fillId="0" borderId="18" xfId="2" applyNumberFormat="1" applyFont="1" applyFill="1" applyBorder="1" applyAlignment="1">
      <alignment horizontal="center" vertical="center"/>
    </xf>
    <xf numFmtId="49" fontId="11" fillId="0" borderId="18" xfId="2" applyNumberFormat="1" applyFont="1" applyFill="1" applyBorder="1" applyAlignment="1">
      <alignment horizontal="center" vertical="center"/>
    </xf>
    <xf numFmtId="38" fontId="11" fillId="0" borderId="20" xfId="2" applyFont="1" applyFill="1" applyBorder="1" applyAlignment="1">
      <alignment horizontal="center" vertical="center"/>
    </xf>
    <xf numFmtId="38" fontId="11" fillId="0" borderId="21" xfId="2" applyFont="1" applyFill="1" applyBorder="1" applyAlignment="1">
      <alignment horizontal="center" vertical="center"/>
    </xf>
    <xf numFmtId="38" fontId="11" fillId="0" borderId="12" xfId="2" applyFont="1" applyFill="1" applyBorder="1" applyAlignment="1">
      <alignment horizontal="right" vertical="center"/>
    </xf>
    <xf numFmtId="203" fontId="11" fillId="0" borderId="11" xfId="2" applyNumberFormat="1" applyFont="1" applyFill="1" applyBorder="1" applyAlignment="1">
      <alignment horizontal="center" vertical="center"/>
    </xf>
    <xf numFmtId="49" fontId="11" fillId="0" borderId="11" xfId="2" applyNumberFormat="1" applyFont="1" applyFill="1" applyBorder="1" applyAlignment="1">
      <alignment horizontal="center" vertical="center"/>
    </xf>
    <xf numFmtId="38" fontId="11" fillId="0" borderId="12" xfId="2" applyFont="1" applyFill="1" applyBorder="1" applyAlignment="1">
      <alignment horizontal="center" vertical="center"/>
    </xf>
    <xf numFmtId="0" fontId="12" fillId="0" borderId="0" xfId="1" applyFont="1" applyAlignment="1">
      <alignment vertical="center"/>
    </xf>
    <xf numFmtId="0" fontId="7" fillId="0" borderId="0" xfId="1" applyFont="1" applyAlignment="1">
      <alignment horizontal="center" vertical="center"/>
    </xf>
    <xf numFmtId="0" fontId="3" fillId="0" borderId="0" xfId="1" applyFont="1" applyAlignment="1">
      <alignment vertical="center"/>
    </xf>
    <xf numFmtId="0" fontId="3" fillId="0" borderId="10" xfId="5" applyFont="1" applyBorder="1" applyAlignment="1">
      <alignment vertical="center"/>
    </xf>
    <xf numFmtId="0" fontId="3" fillId="0" borderId="0" xfId="0" applyFont="1" applyAlignment="1">
      <alignment vertical="center"/>
    </xf>
    <xf numFmtId="0" fontId="3" fillId="0" borderId="10" xfId="0" applyFont="1" applyFill="1" applyBorder="1" applyAlignment="1">
      <alignment vertical="center"/>
    </xf>
    <xf numFmtId="0" fontId="2" fillId="0" borderId="0" xfId="1" applyAlignment="1">
      <alignment vertical="center"/>
    </xf>
    <xf numFmtId="0" fontId="3" fillId="0" borderId="0" xfId="7" applyFont="1" applyAlignment="1">
      <alignment vertical="center"/>
    </xf>
    <xf numFmtId="0" fontId="16" fillId="0" borderId="0" xfId="0" applyFont="1" applyAlignment="1">
      <alignment vertical="center"/>
    </xf>
    <xf numFmtId="0" fontId="0" fillId="0" borderId="13" xfId="0" applyBorder="1" applyAlignment="1">
      <alignment horizontal="left" vertical="center" wrapText="1"/>
    </xf>
    <xf numFmtId="0" fontId="59" fillId="0" borderId="10" xfId="0" applyFont="1" applyBorder="1" applyAlignment="1">
      <alignment vertical="top" wrapText="1"/>
    </xf>
    <xf numFmtId="0" fontId="7" fillId="0" borderId="24" xfId="1" applyFont="1" applyBorder="1" applyAlignment="1">
      <alignment horizontal="center" vertical="center"/>
    </xf>
    <xf numFmtId="38" fontId="7" fillId="0" borderId="18" xfId="2" applyFont="1" applyBorder="1" applyAlignment="1">
      <alignment vertical="center"/>
    </xf>
    <xf numFmtId="38" fontId="7" fillId="0" borderId="19" xfId="2" applyFont="1" applyBorder="1" applyAlignment="1">
      <alignment horizontal="right" vertical="center"/>
    </xf>
    <xf numFmtId="38" fontId="7" fillId="0" borderId="18" xfId="2" applyFont="1" applyBorder="1" applyAlignment="1">
      <alignment horizontal="right"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3" fillId="0" borderId="0" xfId="1" applyFont="1" applyAlignment="1">
      <alignment vertical="center"/>
    </xf>
    <xf numFmtId="0" fontId="2" fillId="0" borderId="0" xfId="1" applyAlignment="1">
      <alignment vertical="center"/>
    </xf>
    <xf numFmtId="0" fontId="7" fillId="0" borderId="26" xfId="1" applyFont="1" applyBorder="1" applyAlignment="1">
      <alignment horizontal="right" vertical="center"/>
    </xf>
    <xf numFmtId="0" fontId="65" fillId="0" borderId="0" xfId="0" applyFont="1" applyAlignment="1">
      <alignment horizontal="center"/>
    </xf>
    <xf numFmtId="0" fontId="64" fillId="0" borderId="0" xfId="0" quotePrefix="1" applyFont="1" applyAlignment="1">
      <alignment horizontal="center"/>
    </xf>
    <xf numFmtId="0" fontId="64" fillId="0" borderId="0" xfId="0" applyFont="1" applyAlignment="1">
      <alignment horizontal="center"/>
    </xf>
    <xf numFmtId="0" fontId="59" fillId="0" borderId="0" xfId="0" applyFont="1" applyAlignment="1">
      <alignment horizontal="center"/>
    </xf>
    <xf numFmtId="0" fontId="60" fillId="0" borderId="0" xfId="0" applyFont="1" applyAlignment="1">
      <alignment horizontal="center"/>
    </xf>
    <xf numFmtId="0" fontId="62" fillId="0" borderId="0" xfId="12" applyFont="1" applyAlignment="1">
      <alignment horizontal="distributed" vertical="center"/>
    </xf>
    <xf numFmtId="0" fontId="62" fillId="0" borderId="0" xfId="12" applyFont="1" applyAlignment="1">
      <alignment horizontal="center" vertical="center" shrinkToFit="1"/>
    </xf>
    <xf numFmtId="0" fontId="62" fillId="0" borderId="32" xfId="12" applyFont="1" applyBorder="1" applyAlignment="1">
      <alignment vertical="top" wrapText="1"/>
    </xf>
    <xf numFmtId="0" fontId="2" fillId="0" borderId="32" xfId="12" applyBorder="1" applyAlignment="1">
      <alignment vertical="top" wrapText="1"/>
    </xf>
    <xf numFmtId="0" fontId="2" fillId="0" borderId="0" xfId="12" applyAlignment="1">
      <alignment vertical="top" wrapText="1"/>
    </xf>
    <xf numFmtId="0" fontId="62" fillId="0" borderId="0" xfId="12" applyFont="1" applyAlignment="1">
      <alignment horizontal="center" vertical="center"/>
    </xf>
    <xf numFmtId="0" fontId="62" fillId="0" borderId="0" xfId="12" applyFont="1">
      <alignment vertical="center"/>
    </xf>
    <xf numFmtId="0" fontId="7" fillId="0" borderId="0" xfId="1" applyFont="1" applyAlignment="1">
      <alignment horizontal="lef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49" fontId="8" fillId="0" borderId="10" xfId="1" applyNumberFormat="1" applyFont="1" applyBorder="1" applyAlignment="1">
      <alignment horizontal="center" vertical="center"/>
    </xf>
    <xf numFmtId="49" fontId="8" fillId="0" borderId="11" xfId="1" applyNumberFormat="1" applyFont="1" applyBorder="1" applyAlignment="1">
      <alignment horizontal="center" vertical="center"/>
    </xf>
    <xf numFmtId="0" fontId="9" fillId="0" borderId="10" xfId="1" applyFont="1" applyBorder="1" applyAlignment="1">
      <alignment horizontal="right" wrapText="1"/>
    </xf>
    <xf numFmtId="0" fontId="7" fillId="0" borderId="22" xfId="1" applyFont="1" applyBorder="1" applyAlignment="1">
      <alignment horizontal="center" vertical="center"/>
    </xf>
    <xf numFmtId="0" fontId="7" fillId="0" borderId="18" xfId="1" applyFont="1" applyBorder="1" applyAlignment="1">
      <alignment horizontal="center" vertical="center"/>
    </xf>
    <xf numFmtId="0" fontId="7" fillId="0" borderId="29" xfId="1" applyFont="1" applyBorder="1" applyAlignment="1">
      <alignment horizontal="center" vertical="center"/>
    </xf>
    <xf numFmtId="0" fontId="7" fillId="0" borderId="3" xfId="1" applyFont="1" applyBorder="1" applyAlignment="1">
      <alignment horizontal="center" vertical="center"/>
    </xf>
    <xf numFmtId="0" fontId="7" fillId="0" borderId="25" xfId="1" applyFont="1" applyBorder="1" applyAlignment="1">
      <alignment horizontal="center" vertical="center"/>
    </xf>
    <xf numFmtId="0" fontId="7" fillId="0" borderId="1" xfId="1" applyFont="1" applyBorder="1" applyAlignment="1">
      <alignment horizontal="center" vertical="center"/>
    </xf>
    <xf numFmtId="0" fontId="7" fillId="0" borderId="24" xfId="1" applyFont="1" applyBorder="1" applyAlignment="1">
      <alignment horizontal="center" vertical="center"/>
    </xf>
    <xf numFmtId="0" fontId="7" fillId="0" borderId="17" xfId="1" applyFont="1" applyBorder="1" applyAlignment="1">
      <alignment horizontal="center" vertical="center"/>
    </xf>
    <xf numFmtId="0" fontId="7" fillId="0" borderId="20" xfId="1" applyFont="1" applyBorder="1" applyAlignment="1">
      <alignment horizontal="center" vertical="center"/>
    </xf>
    <xf numFmtId="0" fontId="7" fillId="0" borderId="30"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31" xfId="1" applyFont="1" applyBorder="1" applyAlignment="1">
      <alignment horizontal="center" vertical="center"/>
    </xf>
    <xf numFmtId="0" fontId="7" fillId="0" borderId="26" xfId="1" applyFont="1" applyBorder="1" applyAlignment="1">
      <alignment horizontal="center" vertical="center" wrapText="1"/>
    </xf>
    <xf numFmtId="0" fontId="7" fillId="0" borderId="0" xfId="1" applyFont="1" applyAlignment="1">
      <alignment horizontal="center" vertical="center"/>
    </xf>
    <xf numFmtId="0" fontId="7" fillId="0" borderId="33" xfId="1" applyFont="1" applyBorder="1" applyAlignment="1">
      <alignment horizontal="center" vertical="center"/>
    </xf>
    <xf numFmtId="0" fontId="7" fillId="0" borderId="28" xfId="1" applyFont="1" applyBorder="1" applyAlignment="1">
      <alignment horizontal="center" vertical="center" wrapText="1"/>
    </xf>
    <xf numFmtId="0" fontId="7" fillId="0" borderId="19" xfId="1" applyFont="1" applyBorder="1" applyAlignment="1">
      <alignment horizontal="center" vertical="center"/>
    </xf>
    <xf numFmtId="0" fontId="2" fillId="0" borderId="33" xfId="1" applyBorder="1" applyAlignment="1">
      <alignment horizontal="center" vertical="center"/>
    </xf>
    <xf numFmtId="0" fontId="7" fillId="0" borderId="17" xfId="1" applyFont="1" applyBorder="1" applyAlignment="1">
      <alignment vertical="center"/>
    </xf>
    <xf numFmtId="0" fontId="2" fillId="0" borderId="30" xfId="1" applyBorder="1" applyAlignment="1">
      <alignment horizontal="center" vertical="center"/>
    </xf>
    <xf numFmtId="0" fontId="7" fillId="0" borderId="23" xfId="1" applyFont="1" applyBorder="1" applyAlignment="1">
      <alignment horizontal="center" vertical="center"/>
    </xf>
    <xf numFmtId="0" fontId="2" fillId="0" borderId="31" xfId="1" applyBorder="1" applyAlignment="1">
      <alignment horizontal="center" vertical="center"/>
    </xf>
    <xf numFmtId="0" fontId="2" fillId="0" borderId="29" xfId="1" applyBorder="1" applyAlignment="1">
      <alignment horizontal="center" vertical="center"/>
    </xf>
    <xf numFmtId="0" fontId="7" fillId="0" borderId="23"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24" xfId="1" applyFont="1" applyBorder="1" applyAlignment="1">
      <alignment horizontal="center" vertical="center" wrapText="1"/>
    </xf>
    <xf numFmtId="0" fontId="11" fillId="0" borderId="3" xfId="1" applyFont="1" applyBorder="1" applyAlignment="1">
      <alignment horizontal="distributed" vertical="center" justifyLastLine="1"/>
    </xf>
    <xf numFmtId="0" fontId="11" fillId="0" borderId="25" xfId="1" applyFont="1" applyBorder="1" applyAlignment="1">
      <alignment horizontal="distributed" vertical="center" justifyLastLine="1"/>
    </xf>
    <xf numFmtId="0" fontId="11" fillId="0" borderId="1" xfId="1" applyFont="1" applyBorder="1" applyAlignment="1">
      <alignment horizontal="distributed" vertical="center" justifyLastLine="1"/>
    </xf>
    <xf numFmtId="0" fontId="11" fillId="0" borderId="17" xfId="1" applyFont="1" applyBorder="1" applyAlignment="1">
      <alignment horizontal="left" vertical="center"/>
    </xf>
    <xf numFmtId="0" fontId="11" fillId="0" borderId="22" xfId="1" applyFont="1" applyBorder="1" applyAlignment="1">
      <alignment horizontal="center" vertical="center"/>
    </xf>
    <xf numFmtId="0" fontId="11" fillId="0" borderId="29" xfId="1" applyFont="1" applyBorder="1" applyAlignment="1">
      <alignment horizontal="center" vertical="center"/>
    </xf>
    <xf numFmtId="0" fontId="11" fillId="0" borderId="3" xfId="1" applyFont="1" applyBorder="1" applyAlignment="1">
      <alignment horizontal="center" vertical="center"/>
    </xf>
    <xf numFmtId="0" fontId="11" fillId="0" borderId="25" xfId="1" applyFont="1" applyBorder="1" applyAlignment="1">
      <alignment horizontal="center" vertical="center"/>
    </xf>
    <xf numFmtId="0" fontId="7" fillId="0" borderId="0" xfId="1" applyFont="1" applyAlignment="1">
      <alignment horizontal="left" vertical="center" wrapText="1"/>
    </xf>
    <xf numFmtId="0" fontId="7" fillId="0" borderId="35" xfId="1" applyFont="1" applyBorder="1" applyAlignment="1">
      <alignment horizontal="center" vertical="center"/>
    </xf>
    <xf numFmtId="0" fontId="2" fillId="0" borderId="38" xfId="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0" xfId="1" applyFont="1" applyAlignment="1">
      <alignment horizontal="right"/>
    </xf>
    <xf numFmtId="0" fontId="2" fillId="0" borderId="0" xfId="1" applyAlignment="1">
      <alignment horizontal="center" vertical="center"/>
    </xf>
    <xf numFmtId="49" fontId="7" fillId="0" borderId="22" xfId="1" applyNumberFormat="1" applyFont="1" applyBorder="1" applyAlignment="1">
      <alignment horizontal="center" vertical="center"/>
    </xf>
    <xf numFmtId="49" fontId="7" fillId="0" borderId="18"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28" xfId="1" applyNumberFormat="1" applyFont="1" applyBorder="1" applyAlignment="1">
      <alignment horizontal="center" vertical="center" wrapText="1"/>
    </xf>
    <xf numFmtId="49" fontId="7" fillId="0" borderId="19" xfId="1" applyNumberFormat="1" applyFont="1" applyBorder="1" applyAlignment="1">
      <alignment horizontal="center" vertical="center"/>
    </xf>
    <xf numFmtId="49" fontId="7" fillId="0" borderId="31" xfId="1" applyNumberFormat="1" applyFont="1" applyBorder="1" applyAlignment="1">
      <alignment horizontal="center" vertical="center"/>
    </xf>
    <xf numFmtId="49" fontId="7" fillId="0" borderId="28" xfId="1" applyNumberFormat="1" applyFont="1" applyBorder="1" applyAlignment="1">
      <alignment horizontal="center" vertical="center"/>
    </xf>
    <xf numFmtId="49" fontId="7" fillId="0" borderId="29" xfId="1" applyNumberFormat="1" applyFont="1" applyBorder="1" applyAlignment="1">
      <alignment horizontal="center" vertical="center"/>
    </xf>
    <xf numFmtId="49" fontId="7" fillId="0" borderId="17" xfId="1" applyNumberFormat="1" applyFont="1" applyBorder="1" applyAlignment="1">
      <alignment horizontal="center" vertical="center"/>
    </xf>
    <xf numFmtId="49" fontId="7" fillId="0" borderId="0" xfId="1" applyNumberFormat="1" applyFont="1" applyAlignment="1">
      <alignment horizontal="center" vertical="center"/>
    </xf>
    <xf numFmtId="49" fontId="7" fillId="0" borderId="33" xfId="1" applyNumberFormat="1" applyFont="1" applyBorder="1" applyAlignment="1">
      <alignment horizontal="center" vertical="center"/>
    </xf>
    <xf numFmtId="49" fontId="7" fillId="0" borderId="23" xfId="1" applyNumberFormat="1" applyFont="1" applyBorder="1" applyAlignment="1">
      <alignment horizontal="center" vertical="center" wrapText="1"/>
    </xf>
    <xf numFmtId="49" fontId="7" fillId="0" borderId="3" xfId="1" applyNumberFormat="1" applyFont="1" applyBorder="1" applyAlignment="1">
      <alignment horizontal="center" vertical="center"/>
    </xf>
    <xf numFmtId="49" fontId="7" fillId="0" borderId="25" xfId="1" applyNumberFormat="1" applyFont="1" applyBorder="1" applyAlignment="1">
      <alignment horizontal="center" vertical="center"/>
    </xf>
    <xf numFmtId="49" fontId="7" fillId="0" borderId="24" xfId="1" applyNumberFormat="1" applyFont="1" applyBorder="1" applyAlignment="1">
      <alignment horizontal="center" vertical="center" wrapText="1"/>
    </xf>
    <xf numFmtId="49" fontId="7" fillId="0" borderId="20" xfId="1" applyNumberFormat="1" applyFont="1" applyBorder="1" applyAlignment="1">
      <alignment horizontal="center" vertical="center"/>
    </xf>
    <xf numFmtId="49" fontId="7" fillId="0" borderId="30"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34"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26" xfId="1" applyNumberFormat="1" applyFont="1" applyBorder="1" applyAlignment="1">
      <alignment horizontal="center" vertical="center"/>
    </xf>
    <xf numFmtId="38" fontId="7" fillId="0" borderId="18" xfId="2" applyFont="1" applyBorder="1" applyAlignment="1">
      <alignment vertical="center"/>
    </xf>
    <xf numFmtId="0" fontId="7" fillId="0" borderId="49" xfId="5" applyFont="1" applyBorder="1" applyAlignment="1">
      <alignment horizontal="distributed" vertical="center"/>
    </xf>
    <xf numFmtId="0" fontId="7" fillId="0" borderId="7" xfId="5" applyFont="1" applyBorder="1" applyAlignment="1">
      <alignment horizontal="distributed" vertical="center"/>
    </xf>
    <xf numFmtId="38" fontId="7" fillId="0" borderId="18" xfId="2" applyFont="1" applyBorder="1" applyAlignment="1">
      <alignment horizontal="right" vertical="center"/>
    </xf>
    <xf numFmtId="38" fontId="7" fillId="0" borderId="19" xfId="2" applyFont="1" applyBorder="1" applyAlignment="1">
      <alignment horizontal="right" vertical="center"/>
    </xf>
    <xf numFmtId="0" fontId="7" fillId="0" borderId="3" xfId="5" applyFont="1" applyBorder="1" applyAlignment="1">
      <alignment horizontal="center" vertical="center"/>
    </xf>
    <xf numFmtId="0" fontId="7" fillId="0" borderId="25" xfId="5" applyFont="1" applyBorder="1" applyAlignment="1">
      <alignment horizontal="center" vertical="center"/>
    </xf>
    <xf numFmtId="0" fontId="7" fillId="0" borderId="1" xfId="5" applyFont="1" applyBorder="1" applyAlignment="1">
      <alignment horizontal="center" vertical="center"/>
    </xf>
    <xf numFmtId="0" fontId="7" fillId="0" borderId="32" xfId="5" applyFont="1" applyBorder="1" applyAlignment="1">
      <alignment horizontal="center" vertical="center"/>
    </xf>
    <xf numFmtId="0" fontId="7" fillId="0" borderId="27" xfId="5" applyFont="1" applyBorder="1" applyAlignment="1">
      <alignment horizontal="center" vertical="center"/>
    </xf>
    <xf numFmtId="0" fontId="7" fillId="0" borderId="33" xfId="5" applyFont="1" applyBorder="1" applyAlignment="1">
      <alignment horizontal="center" vertical="center"/>
    </xf>
    <xf numFmtId="0" fontId="7" fillId="0" borderId="29" xfId="5" applyFont="1" applyBorder="1" applyAlignment="1">
      <alignment horizontal="center" vertical="center"/>
    </xf>
    <xf numFmtId="0" fontId="7" fillId="0" borderId="32" xfId="5" applyFont="1" applyBorder="1" applyAlignment="1">
      <alignment horizontal="distributed" vertical="center"/>
    </xf>
    <xf numFmtId="0" fontId="7" fillId="0" borderId="27" xfId="5" applyFont="1" applyBorder="1" applyAlignment="1">
      <alignment horizontal="distributed" vertical="center"/>
    </xf>
    <xf numFmtId="0" fontId="7" fillId="0" borderId="2" xfId="5" applyFont="1" applyBorder="1" applyAlignment="1">
      <alignment horizontal="center" vertical="center"/>
    </xf>
    <xf numFmtId="0" fontId="7" fillId="0" borderId="17" xfId="5" applyFont="1" applyBorder="1" applyAlignment="1">
      <alignment horizontal="center" vertical="center"/>
    </xf>
    <xf numFmtId="0" fontId="7" fillId="0" borderId="22" xfId="5" applyFont="1" applyBorder="1" applyAlignment="1">
      <alignment horizontal="center" vertical="center"/>
    </xf>
    <xf numFmtId="0" fontId="2" fillId="0" borderId="31" xfId="1" applyBorder="1" applyAlignment="1">
      <alignment horizontal="center" vertical="center" wrapText="1"/>
    </xf>
    <xf numFmtId="0" fontId="7" fillId="0" borderId="10" xfId="1" applyFont="1" applyBorder="1" applyAlignment="1">
      <alignment horizontal="right"/>
    </xf>
    <xf numFmtId="0" fontId="7" fillId="0" borderId="10" xfId="7" applyFont="1" applyBorder="1" applyAlignment="1">
      <alignment horizontal="right"/>
    </xf>
    <xf numFmtId="0" fontId="7" fillId="0" borderId="22" xfId="7" applyFont="1" applyBorder="1" applyAlignment="1">
      <alignment horizontal="center" vertical="center"/>
    </xf>
    <xf numFmtId="0" fontId="7" fillId="0" borderId="29" xfId="7" applyFont="1" applyBorder="1" applyAlignment="1">
      <alignment horizontal="center" vertical="center"/>
    </xf>
    <xf numFmtId="0" fontId="7" fillId="0" borderId="3" xfId="7" applyFont="1" applyBorder="1" applyAlignment="1">
      <alignment horizontal="center" vertical="center"/>
    </xf>
    <xf numFmtId="0" fontId="7" fillId="0" borderId="25" xfId="7" applyFont="1" applyBorder="1" applyAlignment="1">
      <alignment horizontal="center" vertical="center"/>
    </xf>
    <xf numFmtId="0" fontId="7" fillId="0" borderId="28" xfId="1" applyFont="1" applyBorder="1" applyAlignment="1">
      <alignment horizontal="distributed" vertical="center" justifyLastLine="1"/>
    </xf>
    <xf numFmtId="0" fontId="2" fillId="0" borderId="31" xfId="1" applyBorder="1" applyAlignment="1">
      <alignment horizontal="distributed" vertical="center" justifyLastLine="1"/>
    </xf>
    <xf numFmtId="0" fontId="7" fillId="0" borderId="33" xfId="1" applyFont="1" applyBorder="1" applyAlignment="1">
      <alignment horizontal="center" vertical="center" justifyLastLine="1"/>
    </xf>
    <xf numFmtId="0" fontId="7" fillId="0" borderId="34"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27" xfId="1" applyFont="1" applyBorder="1" applyAlignment="1">
      <alignment horizontal="distributed" vertical="center" justifyLastLine="1"/>
    </xf>
    <xf numFmtId="0" fontId="7" fillId="0" borderId="29" xfId="1" applyFont="1" applyBorder="1" applyAlignment="1">
      <alignment horizontal="distributed" vertical="center" justifyLastLine="1"/>
    </xf>
    <xf numFmtId="0" fontId="7" fillId="0" borderId="28" xfId="1" applyFont="1" applyBorder="1" applyAlignment="1">
      <alignment horizontal="distributed" vertical="center" wrapText="1" justifyLastLine="1"/>
    </xf>
    <xf numFmtId="0" fontId="7" fillId="0" borderId="31" xfId="1" applyFont="1" applyBorder="1" applyAlignment="1">
      <alignment horizontal="distributed" vertical="center" justifyLastLine="1"/>
    </xf>
    <xf numFmtId="0" fontId="7" fillId="0" borderId="0" xfId="1" applyFont="1" applyAlignment="1">
      <alignment horizontal="distributed" vertical="center"/>
    </xf>
    <xf numFmtId="0" fontId="7" fillId="0" borderId="18" xfId="1" applyFont="1" applyBorder="1" applyAlignment="1">
      <alignment horizontal="distributed" vertical="center"/>
    </xf>
    <xf numFmtId="0" fontId="7" fillId="0" borderId="10" xfId="1" applyFont="1" applyBorder="1" applyAlignment="1">
      <alignment horizontal="distributed" vertical="center"/>
    </xf>
    <xf numFmtId="0" fontId="7" fillId="0" borderId="11" xfId="1" applyFont="1" applyBorder="1" applyAlignment="1">
      <alignment horizontal="distributed" vertical="center"/>
    </xf>
    <xf numFmtId="0" fontId="7" fillId="0" borderId="20" xfId="1" applyFont="1" applyBorder="1" applyAlignment="1">
      <alignment horizontal="center" vertical="center" wrapText="1"/>
    </xf>
    <xf numFmtId="0" fontId="7" fillId="0" borderId="32" xfId="1" applyFont="1" applyBorder="1" applyAlignment="1">
      <alignment horizontal="distributed" vertical="center"/>
    </xf>
    <xf numFmtId="0" fontId="7" fillId="0" borderId="27" xfId="1" applyFont="1" applyBorder="1" applyAlignment="1">
      <alignment horizontal="distributed" vertical="center"/>
    </xf>
    <xf numFmtId="0" fontId="7" fillId="0" borderId="17"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0" xfId="1" applyFont="1" applyAlignment="1">
      <alignment horizontal="center" vertical="center" wrapText="1"/>
    </xf>
    <xf numFmtId="0" fontId="7" fillId="0" borderId="18"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 xfId="1" applyFont="1" applyBorder="1" applyAlignment="1">
      <alignment horizontal="center"/>
    </xf>
    <xf numFmtId="0" fontId="7" fillId="0" borderId="25" xfId="1" applyFont="1" applyBorder="1" applyAlignment="1">
      <alignment horizontal="center"/>
    </xf>
    <xf numFmtId="0" fontId="7" fillId="0" borderId="1" xfId="1" applyFont="1" applyBorder="1" applyAlignment="1">
      <alignment horizontal="center"/>
    </xf>
    <xf numFmtId="38" fontId="7" fillId="0" borderId="32" xfId="2" applyFont="1" applyBorder="1" applyAlignment="1">
      <alignment horizontal="center" vertical="center"/>
    </xf>
    <xf numFmtId="38" fontId="7" fillId="0" borderId="0" xfId="2" applyFont="1" applyBorder="1" applyAlignment="1">
      <alignment horizontal="center" vertical="center"/>
    </xf>
    <xf numFmtId="38" fontId="7" fillId="0" borderId="33" xfId="2" applyFont="1" applyBorder="1" applyAlignment="1">
      <alignment horizontal="center" vertical="center"/>
    </xf>
    <xf numFmtId="38" fontId="7" fillId="0" borderId="27" xfId="2" applyFont="1" applyBorder="1" applyAlignment="1">
      <alignment horizontal="center" vertical="center"/>
    </xf>
    <xf numFmtId="38" fontId="7" fillId="0" borderId="18" xfId="2" applyFont="1" applyBorder="1" applyAlignment="1">
      <alignment horizontal="center" vertical="center"/>
    </xf>
    <xf numFmtId="38" fontId="7" fillId="0" borderId="29" xfId="2" applyFont="1" applyBorder="1" applyAlignment="1">
      <alignment horizontal="center" vertical="center"/>
    </xf>
    <xf numFmtId="38" fontId="7" fillId="0" borderId="10" xfId="2" applyFont="1" applyBorder="1" applyAlignment="1">
      <alignment horizontal="center" vertical="center"/>
    </xf>
    <xf numFmtId="38" fontId="7" fillId="0" borderId="11" xfId="2" applyFont="1" applyBorder="1" applyAlignment="1">
      <alignment horizontal="center" vertical="center"/>
    </xf>
    <xf numFmtId="38" fontId="7" fillId="0" borderId="23" xfId="2" applyFont="1" applyBorder="1" applyAlignment="1">
      <alignment horizontal="center" vertical="center"/>
    </xf>
    <xf numFmtId="38" fontId="0" fillId="0" borderId="31" xfId="2" applyFont="1" applyBorder="1" applyAlignment="1">
      <alignment horizontal="center" vertical="center"/>
    </xf>
    <xf numFmtId="38" fontId="7" fillId="0" borderId="17" xfId="2" applyFont="1" applyBorder="1" applyAlignment="1">
      <alignment horizontal="center" vertical="center"/>
    </xf>
    <xf numFmtId="38" fontId="7" fillId="0" borderId="22" xfId="2" applyFont="1" applyBorder="1" applyAlignment="1">
      <alignment horizontal="center" vertical="center"/>
    </xf>
    <xf numFmtId="38" fontId="0" fillId="0" borderId="33" xfId="2" applyFont="1" applyBorder="1" applyAlignment="1">
      <alignment horizontal="center" vertical="center"/>
    </xf>
    <xf numFmtId="38" fontId="0" fillId="0" borderId="29" xfId="2" applyFont="1" applyBorder="1" applyAlignment="1">
      <alignment horizontal="center" vertical="center"/>
    </xf>
    <xf numFmtId="0" fontId="7" fillId="0" borderId="17" xfId="1" applyFont="1" applyBorder="1" applyAlignment="1">
      <alignment horizontal="center" vertical="center" justifyLastLine="1"/>
    </xf>
    <xf numFmtId="0" fontId="7" fillId="0" borderId="22" xfId="1" applyFont="1" applyBorder="1" applyAlignment="1">
      <alignment horizontal="center" vertical="center" justifyLastLine="1"/>
    </xf>
    <xf numFmtId="0" fontId="7" fillId="0" borderId="29" xfId="1" applyFont="1" applyBorder="1" applyAlignment="1">
      <alignment horizontal="center" vertical="center" justifyLastLine="1"/>
    </xf>
    <xf numFmtId="0" fontId="7" fillId="0" borderId="3" xfId="1" applyFont="1" applyBorder="1" applyAlignment="1">
      <alignment horizontal="center" vertical="center" justifyLastLine="1"/>
    </xf>
    <xf numFmtId="0" fontId="7" fillId="0" borderId="25" xfId="1" applyFont="1" applyBorder="1" applyAlignment="1">
      <alignment horizontal="center" vertical="center" justifyLastLine="1"/>
    </xf>
    <xf numFmtId="201" fontId="7" fillId="0" borderId="20" xfId="1" applyNumberFormat="1" applyFont="1" applyBorder="1" applyAlignment="1">
      <alignment horizontal="center" vertical="center"/>
    </xf>
    <xf numFmtId="201" fontId="7" fillId="0" borderId="0" xfId="1" applyNumberFormat="1" applyFont="1" applyAlignment="1">
      <alignment horizontal="center" vertical="center"/>
    </xf>
    <xf numFmtId="201" fontId="7" fillId="0" borderId="12" xfId="1" applyNumberFormat="1" applyFont="1" applyBorder="1" applyAlignment="1">
      <alignment horizontal="center" vertical="center"/>
    </xf>
    <xf numFmtId="201" fontId="7" fillId="0" borderId="10" xfId="1" applyNumberFormat="1" applyFont="1" applyBorder="1" applyAlignment="1">
      <alignment horizontal="center" vertical="center"/>
    </xf>
    <xf numFmtId="200" fontId="7" fillId="0" borderId="26" xfId="1" applyNumberFormat="1" applyFont="1" applyBorder="1" applyAlignment="1">
      <alignment horizontal="center" vertical="center"/>
    </xf>
    <xf numFmtId="200" fontId="7" fillId="0" borderId="32" xfId="1" applyNumberFormat="1" applyFont="1" applyBorder="1" applyAlignment="1">
      <alignment horizontal="center" vertical="center"/>
    </xf>
    <xf numFmtId="200" fontId="7" fillId="0" borderId="20" xfId="1" applyNumberFormat="1" applyFont="1" applyBorder="1" applyAlignment="1">
      <alignment horizontal="center" vertical="center"/>
    </xf>
    <xf numFmtId="200" fontId="7" fillId="0" borderId="0" xfId="1" applyNumberFormat="1" applyFont="1" applyAlignment="1">
      <alignment horizontal="center" vertical="center"/>
    </xf>
    <xf numFmtId="0" fontId="7" fillId="0" borderId="27"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29"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18" xfId="1" applyFont="1" applyFill="1" applyBorder="1" applyAlignment="1">
      <alignment horizontal="center" vertical="center"/>
    </xf>
    <xf numFmtId="0" fontId="9" fillId="0" borderId="10" xfId="1" applyFont="1" applyFill="1" applyBorder="1" applyAlignment="1">
      <alignment horizontal="right"/>
    </xf>
    <xf numFmtId="0" fontId="9" fillId="0" borderId="13" xfId="1" applyFont="1" applyFill="1" applyBorder="1" applyAlignment="1">
      <alignment horizontal="right"/>
    </xf>
    <xf numFmtId="0" fontId="7" fillId="0" borderId="11" xfId="1" applyFont="1" applyFill="1" applyBorder="1" applyAlignment="1">
      <alignment horizontal="center" vertical="center" wrapText="1"/>
    </xf>
    <xf numFmtId="0" fontId="7" fillId="0" borderId="29" xfId="1" applyFont="1" applyFill="1" applyBorder="1" applyAlignment="1">
      <alignment horizontal="center" vertical="center" wrapText="1"/>
    </xf>
    <xf numFmtId="49" fontId="7" fillId="0" borderId="2" xfId="1" applyNumberFormat="1" applyFont="1" applyBorder="1" applyAlignment="1">
      <alignment horizontal="center" vertical="center"/>
    </xf>
    <xf numFmtId="49" fontId="6" fillId="0" borderId="31" xfId="1" applyNumberFormat="1" applyFont="1" applyBorder="1" applyAlignment="1">
      <alignment vertical="center"/>
    </xf>
    <xf numFmtId="49" fontId="7" fillId="0" borderId="5" xfId="1" applyNumberFormat="1" applyFont="1" applyBorder="1" applyAlignment="1">
      <alignment horizontal="center" vertical="center"/>
    </xf>
    <xf numFmtId="0" fontId="11" fillId="0" borderId="6" xfId="1" applyFont="1" applyBorder="1" applyAlignment="1">
      <alignment horizontal="center" vertical="center"/>
    </xf>
    <xf numFmtId="0" fontId="11" fillId="0" borderId="34" xfId="1" applyFont="1" applyBorder="1" applyAlignment="1">
      <alignment horizontal="center" vertical="center"/>
    </xf>
    <xf numFmtId="0" fontId="11" fillId="0" borderId="4" xfId="1" applyFont="1" applyBorder="1" applyAlignment="1">
      <alignment horizontal="center" vertical="center"/>
    </xf>
    <xf numFmtId="0" fontId="7" fillId="0" borderId="21" xfId="1" applyFont="1" applyBorder="1" applyAlignment="1">
      <alignment horizontal="center" vertical="center"/>
    </xf>
    <xf numFmtId="0" fontId="11" fillId="0" borderId="28" xfId="1" applyFont="1" applyBorder="1" applyAlignment="1">
      <alignment horizontal="center" vertical="center"/>
    </xf>
    <xf numFmtId="0" fontId="11" fillId="0" borderId="31" xfId="1" applyFont="1" applyBorder="1" applyAlignment="1">
      <alignment horizontal="center" vertical="center"/>
    </xf>
    <xf numFmtId="0" fontId="7" fillId="0" borderId="67" xfId="1" applyFont="1" applyFill="1" applyBorder="1" applyAlignment="1">
      <alignment horizontal="distributed" vertical="center"/>
    </xf>
    <xf numFmtId="0" fontId="7" fillId="0" borderId="59" xfId="1" applyFont="1" applyBorder="1" applyAlignment="1">
      <alignment horizontal="distributed" vertical="center"/>
    </xf>
    <xf numFmtId="0" fontId="7" fillId="0" borderId="63" xfId="1" applyFont="1" applyBorder="1" applyAlignment="1">
      <alignment horizontal="distributed" vertical="center"/>
    </xf>
    <xf numFmtId="0" fontId="7" fillId="0" borderId="64" xfId="1" applyFont="1" applyBorder="1" applyAlignment="1">
      <alignment horizontal="distributed" vertical="center"/>
    </xf>
    <xf numFmtId="0" fontId="7" fillId="0" borderId="65" xfId="1" applyFont="1" applyBorder="1" applyAlignment="1">
      <alignment horizontal="distributed" vertical="center"/>
    </xf>
    <xf numFmtId="0" fontId="7" fillId="0" borderId="59" xfId="1" applyFont="1" applyBorder="1" applyAlignment="1">
      <alignment horizontal="center" vertical="center"/>
    </xf>
    <xf numFmtId="195" fontId="7" fillId="0" borderId="61" xfId="1" applyNumberFormat="1" applyFont="1" applyBorder="1" applyAlignment="1">
      <alignment horizontal="center" vertical="center"/>
    </xf>
    <xf numFmtId="202" fontId="7" fillId="0" borderId="61" xfId="1" applyNumberFormat="1" applyFont="1" applyBorder="1" applyAlignment="1">
      <alignment horizontal="center" vertical="center"/>
    </xf>
    <xf numFmtId="202" fontId="7" fillId="0" borderId="62" xfId="1" applyNumberFormat="1" applyFont="1" applyBorder="1" applyAlignment="1">
      <alignment horizontal="center" vertical="center"/>
    </xf>
    <xf numFmtId="203" fontId="7" fillId="0" borderId="61" xfId="1" applyNumberFormat="1" applyFont="1" applyBorder="1" applyAlignment="1">
      <alignment horizontal="right" vertical="center"/>
    </xf>
    <xf numFmtId="203" fontId="7" fillId="0" borderId="61" xfId="1" applyNumberFormat="1" applyFont="1" applyBorder="1" applyAlignment="1">
      <alignment vertical="center"/>
    </xf>
    <xf numFmtId="0" fontId="9" fillId="0" borderId="61" xfId="1" applyFont="1" applyBorder="1" applyAlignment="1">
      <alignment vertical="center"/>
    </xf>
    <xf numFmtId="0" fontId="9" fillId="0" borderId="59" xfId="1" applyFont="1" applyBorder="1" applyAlignment="1">
      <alignment horizontal="distributed" vertical="center"/>
    </xf>
    <xf numFmtId="0" fontId="9" fillId="0" borderId="59" xfId="1" applyFont="1" applyBorder="1" applyAlignment="1">
      <alignment horizontal="center" vertical="center"/>
    </xf>
    <xf numFmtId="195" fontId="7" fillId="0" borderId="61" xfId="1" applyNumberFormat="1" applyFont="1" applyBorder="1" applyAlignment="1">
      <alignment vertical="center"/>
    </xf>
    <xf numFmtId="202" fontId="7" fillId="0" borderId="61" xfId="1" applyNumberFormat="1" applyFont="1" applyBorder="1" applyAlignment="1">
      <alignment vertical="center"/>
    </xf>
    <xf numFmtId="202" fontId="7" fillId="0" borderId="62" xfId="1" applyNumberFormat="1" applyFont="1" applyBorder="1" applyAlignment="1">
      <alignment vertical="center"/>
    </xf>
    <xf numFmtId="0" fontId="7" fillId="0" borderId="57" xfId="1" applyFont="1" applyBorder="1" applyAlignment="1">
      <alignment horizontal="center" vertical="center"/>
    </xf>
    <xf numFmtId="0" fontId="7" fillId="0" borderId="61" xfId="1" applyFont="1" applyBorder="1" applyAlignment="1">
      <alignment horizontal="center" vertical="center"/>
    </xf>
    <xf numFmtId="195" fontId="7" fillId="0" borderId="57" xfId="1" applyNumberFormat="1" applyFont="1" applyBorder="1" applyAlignment="1">
      <alignment horizontal="center" vertical="center"/>
    </xf>
    <xf numFmtId="202" fontId="7" fillId="0" borderId="57" xfId="1" applyNumberFormat="1" applyFont="1" applyBorder="1" applyAlignment="1">
      <alignment horizontal="center" vertical="center"/>
    </xf>
    <xf numFmtId="202" fontId="7" fillId="0" borderId="58" xfId="1" applyNumberFormat="1" applyFont="1" applyBorder="1" applyAlignment="1">
      <alignment horizontal="center" vertical="center"/>
    </xf>
    <xf numFmtId="0" fontId="7" fillId="0" borderId="17" xfId="1" applyFont="1" applyBorder="1"/>
    <xf numFmtId="0" fontId="7" fillId="0" borderId="33" xfId="1" applyFont="1" applyBorder="1"/>
    <xf numFmtId="0" fontId="7" fillId="0" borderId="50" xfId="1" applyFont="1" applyBorder="1" applyAlignment="1">
      <alignment horizontal="center" vertical="center"/>
    </xf>
    <xf numFmtId="0" fontId="7" fillId="0" borderId="53"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0" fontId="7" fillId="0" borderId="56" xfId="1" applyFont="1" applyBorder="1" applyAlignment="1">
      <alignment horizontal="distributed" vertical="center"/>
    </xf>
    <xf numFmtId="179" fontId="7" fillId="0" borderId="57" xfId="1" applyNumberFormat="1" applyFont="1" applyBorder="1" applyAlignment="1">
      <alignment vertical="center"/>
    </xf>
    <xf numFmtId="179" fontId="7" fillId="0" borderId="61" xfId="1" applyNumberFormat="1" applyFont="1" applyBorder="1" applyAlignment="1">
      <alignment vertical="center"/>
    </xf>
    <xf numFmtId="0" fontId="6" fillId="0" borderId="17" xfId="1" applyFont="1" applyBorder="1" applyAlignment="1">
      <alignment horizontal="center" vertical="center"/>
    </xf>
    <xf numFmtId="0" fontId="6" fillId="0" borderId="22" xfId="1" applyFont="1" applyBorder="1" applyAlignment="1">
      <alignment horizontal="center" vertical="center"/>
    </xf>
    <xf numFmtId="0" fontId="6" fillId="0" borderId="33" xfId="1" applyFont="1" applyBorder="1" applyAlignment="1">
      <alignment horizontal="center" vertical="center"/>
    </xf>
    <xf numFmtId="0" fontId="6" fillId="0" borderId="29" xfId="1" applyFont="1" applyBorder="1" applyAlignment="1">
      <alignment horizontal="center" vertical="center"/>
    </xf>
    <xf numFmtId="0" fontId="33" fillId="0" borderId="71" xfId="1" applyFont="1" applyBorder="1" applyAlignment="1">
      <alignment horizontal="center" vertical="center"/>
    </xf>
    <xf numFmtId="0" fontId="6" fillId="0" borderId="72" xfId="1" applyFont="1" applyBorder="1" applyAlignment="1">
      <alignment horizontal="center" vertical="center"/>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33" fillId="0" borderId="2" xfId="1" applyFont="1" applyBorder="1" applyAlignment="1">
      <alignment horizontal="center" vertical="center"/>
    </xf>
    <xf numFmtId="0" fontId="33" fillId="0" borderId="3" xfId="1"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3" xfId="0" applyFont="1" applyBorder="1" applyAlignment="1">
      <alignment horizontal="center" vertical="center"/>
    </xf>
    <xf numFmtId="0" fontId="11" fillId="0" borderId="25" xfId="0" applyFont="1" applyBorder="1" applyAlignment="1">
      <alignment horizontal="center" vertical="center"/>
    </xf>
    <xf numFmtId="0" fontId="11" fillId="0" borderId="37" xfId="0" applyFont="1" applyBorder="1" applyAlignment="1">
      <alignment horizontal="center" vertical="center"/>
    </xf>
    <xf numFmtId="0" fontId="7" fillId="0" borderId="3" xfId="1" applyFont="1" applyBorder="1" applyAlignment="1">
      <alignment horizontal="center" vertical="distributed"/>
    </xf>
    <xf numFmtId="0" fontId="7" fillId="0" borderId="25" xfId="1" applyFont="1" applyBorder="1" applyAlignment="1">
      <alignment horizontal="center" vertical="distributed"/>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90" xfId="0"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Fill="1" applyBorder="1" applyAlignment="1">
      <alignment horizontal="center" vertical="center"/>
    </xf>
    <xf numFmtId="0" fontId="7" fillId="0" borderId="25" xfId="0" applyFont="1" applyBorder="1" applyAlignment="1">
      <alignment horizontal="center" vertical="center"/>
    </xf>
    <xf numFmtId="0" fontId="7" fillId="0" borderId="25" xfId="0" applyFont="1" applyFill="1" applyBorder="1" applyAlignment="1">
      <alignment horizontal="center" vertical="center"/>
    </xf>
    <xf numFmtId="0" fontId="9" fillId="0" borderId="23" xfId="2" quotePrefix="1" applyNumberFormat="1" applyFont="1" applyFill="1" applyBorder="1" applyAlignment="1">
      <alignment horizontal="center" vertical="center" wrapText="1" shrinkToFit="1"/>
    </xf>
    <xf numFmtId="0" fontId="9" fillId="0" borderId="19" xfId="2" quotePrefix="1" applyNumberFormat="1" applyFont="1" applyFill="1" applyBorder="1" applyAlignment="1">
      <alignment horizontal="center" vertical="center" shrinkToFit="1"/>
    </xf>
    <xf numFmtId="0" fontId="9" fillId="0" borderId="20" xfId="0" applyFont="1" applyBorder="1" applyAlignment="1">
      <alignment horizontal="distributed" vertical="center"/>
    </xf>
    <xf numFmtId="0" fontId="9" fillId="0" borderId="0" xfId="0" applyFont="1" applyAlignment="1">
      <alignment horizontal="distributed" vertical="center"/>
    </xf>
    <xf numFmtId="0" fontId="9" fillId="0" borderId="18" xfId="0" applyFont="1" applyBorder="1" applyAlignment="1">
      <alignment horizontal="distributed" vertical="center"/>
    </xf>
    <xf numFmtId="0" fontId="9" fillId="0" borderId="34" xfId="0" applyFont="1" applyBorder="1" applyAlignment="1">
      <alignment horizontal="center" vertical="center"/>
    </xf>
    <xf numFmtId="0" fontId="9" fillId="0" borderId="4" xfId="0" applyFont="1" applyBorder="1" applyAlignment="1">
      <alignment horizontal="center" vertical="center"/>
    </xf>
    <xf numFmtId="0" fontId="9" fillId="0" borderId="34" xfId="0" applyFont="1" applyBorder="1" applyAlignment="1">
      <alignment horizontal="distributed" vertical="center"/>
    </xf>
    <xf numFmtId="0" fontId="9" fillId="0" borderId="4" xfId="0" applyFont="1" applyBorder="1" applyAlignment="1">
      <alignment horizontal="distributed" vertical="center"/>
    </xf>
    <xf numFmtId="0" fontId="9" fillId="0" borderId="79" xfId="0" applyFont="1" applyBorder="1" applyAlignment="1">
      <alignment horizontal="distributed" vertical="center"/>
    </xf>
    <xf numFmtId="0" fontId="9" fillId="0" borderId="74" xfId="0" applyFont="1" applyBorder="1" applyAlignment="1">
      <alignment horizontal="distributed" vertical="center"/>
    </xf>
    <xf numFmtId="0" fontId="9" fillId="0" borderId="24" xfId="0" applyFont="1" applyBorder="1" applyAlignment="1">
      <alignment horizontal="distributed" vertical="center" justifyLastLine="1"/>
    </xf>
    <xf numFmtId="0" fontId="9" fillId="0" borderId="17"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9" fillId="0" borderId="20" xfId="0" applyFont="1" applyBorder="1" applyAlignment="1">
      <alignment horizontal="distributed" vertical="center" justifyLastLine="1"/>
    </xf>
    <xf numFmtId="0" fontId="9" fillId="0" borderId="0" xfId="0" applyFont="1" applyAlignment="1">
      <alignment horizontal="distributed" vertical="center" justifyLastLine="1"/>
    </xf>
    <xf numFmtId="0" fontId="9" fillId="0" borderId="18" xfId="0" applyFont="1" applyBorder="1" applyAlignment="1">
      <alignment horizontal="distributed" vertical="center" justifyLastLine="1"/>
    </xf>
    <xf numFmtId="0" fontId="9" fillId="0" borderId="30" xfId="0" applyFont="1" applyBorder="1" applyAlignment="1">
      <alignment horizontal="distributed" vertical="center" justifyLastLine="1"/>
    </xf>
    <xf numFmtId="0" fontId="9" fillId="0" borderId="33" xfId="0" applyFont="1" applyBorder="1" applyAlignment="1">
      <alignment horizontal="distributed" vertical="center" justifyLastLine="1"/>
    </xf>
    <xf numFmtId="0" fontId="9" fillId="0" borderId="29" xfId="0" applyFont="1" applyBorder="1" applyAlignment="1">
      <alignment horizontal="distributed" vertical="center" justifyLastLine="1"/>
    </xf>
    <xf numFmtId="0" fontId="7" fillId="0" borderId="22" xfId="10" applyFont="1" applyBorder="1" applyAlignment="1">
      <alignment horizontal="center" vertical="center"/>
    </xf>
    <xf numFmtId="0" fontId="7" fillId="0" borderId="29" xfId="10" applyFont="1" applyBorder="1" applyAlignment="1">
      <alignment horizontal="center" vertical="center"/>
    </xf>
    <xf numFmtId="0" fontId="7" fillId="0" borderId="24" xfId="10" applyFont="1" applyBorder="1" applyAlignment="1">
      <alignment horizontal="center" vertical="center"/>
    </xf>
    <xf numFmtId="0" fontId="7" fillId="0" borderId="30" xfId="10" applyFont="1" applyBorder="1" applyAlignment="1">
      <alignment horizontal="center" vertical="center"/>
    </xf>
    <xf numFmtId="0" fontId="7" fillId="0" borderId="3" xfId="10" applyFont="1" applyBorder="1" applyAlignment="1">
      <alignment horizontal="center" vertical="center"/>
    </xf>
    <xf numFmtId="0" fontId="7" fillId="0" borderId="25" xfId="10" applyFont="1" applyBorder="1" applyAlignment="1">
      <alignment horizontal="center" vertical="center"/>
    </xf>
    <xf numFmtId="0" fontId="7" fillId="0" borderId="37" xfId="0" applyFont="1" applyBorder="1" applyAlignment="1">
      <alignment horizontal="center" vertical="center"/>
    </xf>
    <xf numFmtId="0" fontId="7" fillId="0" borderId="0" xfId="0" applyFont="1" applyAlignment="1">
      <alignment vertical="center"/>
    </xf>
    <xf numFmtId="0" fontId="7" fillId="0" borderId="34"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distributed" vertical="distributed"/>
    </xf>
    <xf numFmtId="0" fontId="7" fillId="0" borderId="18" xfId="0" applyFont="1" applyBorder="1" applyAlignment="1">
      <alignment horizontal="distributed" vertical="distributed"/>
    </xf>
    <xf numFmtId="0" fontId="7" fillId="0" borderId="17" xfId="0" applyFont="1" applyBorder="1" applyAlignment="1">
      <alignment vertical="center"/>
    </xf>
    <xf numFmtId="0" fontId="7" fillId="0" borderId="2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26" xfId="0" applyFont="1" applyFill="1" applyBorder="1" applyAlignment="1">
      <alignment horizontal="distributed" vertical="center"/>
    </xf>
    <xf numFmtId="0" fontId="7" fillId="0" borderId="20" xfId="0" applyFont="1" applyFill="1" applyBorder="1" applyAlignment="1">
      <alignment horizontal="distributed" vertical="center"/>
    </xf>
    <xf numFmtId="0" fontId="7" fillId="0" borderId="30" xfId="0" applyFont="1" applyFill="1" applyBorder="1" applyAlignment="1">
      <alignment horizontal="distributed" vertical="center"/>
    </xf>
    <xf numFmtId="0" fontId="7" fillId="0" borderId="6" xfId="0" applyFont="1" applyFill="1" applyBorder="1" applyAlignment="1">
      <alignment horizontal="distributed" vertical="center"/>
    </xf>
    <xf numFmtId="0" fontId="7" fillId="0" borderId="34" xfId="0" applyFont="1" applyFill="1" applyBorder="1" applyAlignment="1">
      <alignment horizontal="distributed" vertical="center"/>
    </xf>
    <xf numFmtId="0" fontId="7" fillId="0" borderId="4" xfId="0" applyFont="1" applyFill="1" applyBorder="1" applyAlignment="1">
      <alignment horizontal="distributed" vertical="center"/>
    </xf>
    <xf numFmtId="0" fontId="7" fillId="0" borderId="32" xfId="0" applyFont="1" applyFill="1" applyBorder="1" applyAlignment="1">
      <alignment horizontal="distributed" vertical="center"/>
    </xf>
    <xf numFmtId="0" fontId="7" fillId="0" borderId="27" xfId="0" applyFont="1" applyFill="1" applyBorder="1" applyAlignment="1">
      <alignment horizontal="distributed" vertical="center"/>
    </xf>
    <xf numFmtId="0" fontId="7" fillId="0" borderId="19"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8" xfId="0" applyFont="1" applyFill="1" applyBorder="1" applyAlignment="1">
      <alignment horizontal="distributed" vertical="center"/>
    </xf>
    <xf numFmtId="0" fontId="7" fillId="0" borderId="20"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9" xfId="0" applyFont="1" applyFill="1" applyBorder="1" applyAlignment="1">
      <alignment horizontal="distributed" vertical="center"/>
    </xf>
    <xf numFmtId="0" fontId="7" fillId="0" borderId="49" xfId="0" applyFont="1" applyFill="1" applyBorder="1" applyAlignment="1">
      <alignment horizontal="distributed" vertical="center"/>
    </xf>
    <xf numFmtId="0" fontId="7" fillId="0" borderId="7" xfId="0" applyFont="1" applyFill="1" applyBorder="1" applyAlignment="1">
      <alignment horizontal="distributed" vertical="center"/>
    </xf>
    <xf numFmtId="0" fontId="7" fillId="0" borderId="7" xfId="0" applyFont="1" applyFill="1" applyBorder="1" applyAlignment="1">
      <alignment horizontal="center" vertical="center"/>
    </xf>
    <xf numFmtId="0" fontId="7" fillId="0" borderId="20" xfId="0" applyFont="1" applyFill="1" applyBorder="1" applyAlignment="1">
      <alignment vertical="top"/>
    </xf>
    <xf numFmtId="0" fontId="7" fillId="0" borderId="18" xfId="0" applyFont="1" applyFill="1" applyBorder="1" applyAlignment="1">
      <alignment vertical="top"/>
    </xf>
    <xf numFmtId="0" fontId="7" fillId="0" borderId="26" xfId="0" applyFont="1" applyFill="1" applyBorder="1" applyAlignment="1">
      <alignment vertical="top"/>
    </xf>
    <xf numFmtId="0" fontId="7" fillId="0" borderId="27" xfId="0" applyFont="1" applyFill="1" applyBorder="1" applyAlignment="1">
      <alignment vertical="top"/>
    </xf>
    <xf numFmtId="0" fontId="7" fillId="0" borderId="19" xfId="0" applyFont="1" applyBorder="1" applyAlignment="1">
      <alignment horizontal="center" vertical="center"/>
    </xf>
    <xf numFmtId="0" fontId="7" fillId="0" borderId="31" xfId="0" applyFont="1" applyBorder="1" applyAlignment="1">
      <alignment horizontal="center" vertical="center"/>
    </xf>
    <xf numFmtId="0" fontId="7" fillId="0" borderId="20" xfId="0" applyFont="1" applyBorder="1" applyAlignment="1">
      <alignment horizontal="center" vertical="center"/>
    </xf>
    <xf numFmtId="0" fontId="7" fillId="0" borderId="30" xfId="0" applyFont="1" applyBorder="1" applyAlignment="1">
      <alignment horizontal="center" vertical="center"/>
    </xf>
    <xf numFmtId="0" fontId="7" fillId="0" borderId="0" xfId="0" applyFont="1" applyAlignment="1">
      <alignment horizontal="lef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28" xfId="0" applyFont="1" applyBorder="1" applyAlignment="1">
      <alignment horizontal="center"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33" xfId="0" applyFont="1" applyFill="1" applyBorder="1" applyAlignment="1">
      <alignment horizontal="center" vertical="center"/>
    </xf>
    <xf numFmtId="0" fontId="0" fillId="0" borderId="29" xfId="0" applyBorder="1" applyAlignment="1">
      <alignment horizontal="center" vertical="center"/>
    </xf>
    <xf numFmtId="0" fontId="7" fillId="0" borderId="3" xfId="0" applyFont="1" applyBorder="1" applyAlignment="1">
      <alignment horizontal="distributed" vertical="center" justifyLastLine="1"/>
    </xf>
    <xf numFmtId="0" fontId="7" fillId="0" borderId="25" xfId="0" applyFont="1" applyBorder="1" applyAlignment="1">
      <alignment horizontal="distributed" vertical="center" justifyLastLine="1"/>
    </xf>
    <xf numFmtId="0" fontId="7" fillId="0" borderId="1" xfId="0" applyFont="1" applyBorder="1" applyAlignment="1">
      <alignment horizontal="distributed" vertical="center" justifyLastLine="1"/>
    </xf>
    <xf numFmtId="0" fontId="7" fillId="0" borderId="0" xfId="0" applyFont="1" applyAlignment="1">
      <alignment horizontal="right"/>
    </xf>
    <xf numFmtId="0" fontId="7" fillId="0" borderId="28" xfId="0" applyFont="1" applyBorder="1" applyAlignment="1">
      <alignment horizontal="center" vertical="center" shrinkToFit="1"/>
    </xf>
    <xf numFmtId="0" fontId="0" fillId="0" borderId="31" xfId="0" applyBorder="1" applyAlignment="1">
      <alignment horizontal="center" vertical="center" shrinkToFit="1"/>
    </xf>
    <xf numFmtId="0" fontId="7" fillId="0" borderId="31" xfId="0" applyFont="1" applyBorder="1" applyAlignment="1">
      <alignment horizontal="center" vertical="center" shrinkToFit="1"/>
    </xf>
    <xf numFmtId="0" fontId="7" fillId="0" borderId="26" xfId="0" applyFont="1" applyBorder="1" applyAlignment="1">
      <alignment horizontal="center" vertical="center" shrinkToFit="1"/>
    </xf>
    <xf numFmtId="0" fontId="0" fillId="0" borderId="30" xfId="0" applyBorder="1" applyAlignment="1">
      <alignment horizontal="center" vertical="center" shrinkToFit="1"/>
    </xf>
    <xf numFmtId="0" fontId="7" fillId="0" borderId="3" xfId="0" applyFont="1" applyBorder="1" applyAlignment="1">
      <alignment horizontal="center" vertical="center" justifyLastLine="1"/>
    </xf>
    <xf numFmtId="0" fontId="7" fillId="0" borderId="25" xfId="0" applyFont="1" applyBorder="1" applyAlignment="1">
      <alignment horizontal="center" vertical="center" justifyLastLine="1"/>
    </xf>
    <xf numFmtId="0" fontId="7" fillId="0" borderId="1" xfId="0" applyFont="1" applyBorder="1" applyAlignment="1">
      <alignment horizontal="center" vertical="center" justifyLastLine="1"/>
    </xf>
    <xf numFmtId="0" fontId="7" fillId="0" borderId="32" xfId="0" applyFont="1" applyBorder="1" applyAlignment="1">
      <alignment horizontal="center" vertical="center"/>
    </xf>
    <xf numFmtId="195" fontId="7" fillId="0" borderId="19" xfId="0" applyNumberFormat="1" applyFont="1" applyBorder="1" applyAlignment="1">
      <alignment horizontal="center" vertical="center"/>
    </xf>
    <xf numFmtId="192" fontId="7" fillId="0" borderId="19" xfId="0" applyNumberFormat="1" applyFont="1" applyBorder="1" applyAlignment="1">
      <alignment horizontal="center" vertical="center"/>
    </xf>
    <xf numFmtId="192" fontId="7" fillId="0" borderId="20" xfId="0" applyNumberFormat="1" applyFont="1" applyBorder="1" applyAlignment="1">
      <alignment horizontal="center" vertical="center"/>
    </xf>
    <xf numFmtId="195" fontId="7" fillId="0" borderId="20" xfId="0" applyNumberFormat="1" applyFont="1" applyBorder="1" applyAlignment="1">
      <alignment horizontal="center" vertical="center"/>
    </xf>
    <xf numFmtId="195" fontId="7" fillId="0" borderId="18" xfId="0" applyNumberFormat="1" applyFont="1" applyBorder="1" applyAlignment="1">
      <alignment horizontal="center" vertical="center"/>
    </xf>
    <xf numFmtId="195" fontId="7" fillId="0" borderId="12" xfId="0" applyNumberFormat="1" applyFont="1" applyBorder="1" applyAlignment="1">
      <alignment horizontal="center" vertical="center"/>
    </xf>
    <xf numFmtId="195" fontId="7" fillId="0" borderId="11" xfId="0" applyNumberFormat="1" applyFont="1" applyBorder="1" applyAlignment="1">
      <alignment horizontal="center" vertical="center"/>
    </xf>
    <xf numFmtId="192" fontId="7" fillId="0" borderId="12" xfId="0" applyNumberFormat="1" applyFont="1" applyBorder="1" applyAlignment="1">
      <alignment horizontal="center" vertical="center"/>
    </xf>
    <xf numFmtId="192" fontId="7" fillId="0" borderId="10" xfId="0" applyNumberFormat="1" applyFont="1" applyBorder="1" applyAlignment="1">
      <alignment horizontal="center" vertical="center"/>
    </xf>
    <xf numFmtId="0" fontId="7" fillId="0" borderId="6"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0" xfId="0" applyFont="1" applyFill="1" applyAlignment="1">
      <alignment horizontal="right"/>
    </xf>
    <xf numFmtId="0" fontId="7" fillId="0" borderId="22"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10" xfId="0" applyFont="1" applyFill="1" applyBorder="1" applyAlignment="1">
      <alignment horizontal="right"/>
    </xf>
    <xf numFmtId="0" fontId="7" fillId="0" borderId="22" xfId="0" applyFont="1" applyFill="1" applyBorder="1" applyAlignment="1">
      <alignment horizontal="distributed" vertical="center" justifyLastLine="1"/>
    </xf>
    <xf numFmtId="0" fontId="7" fillId="0" borderId="29" xfId="0" applyFont="1" applyFill="1" applyBorder="1" applyAlignment="1">
      <alignment horizontal="distributed" vertical="center" justifyLastLine="1"/>
    </xf>
    <xf numFmtId="0" fontId="7" fillId="0" borderId="23" xfId="0" applyFont="1" applyFill="1" applyBorder="1" applyAlignment="1">
      <alignment horizontal="distributed" vertical="center" justifyLastLine="1"/>
    </xf>
    <xf numFmtId="0" fontId="7" fillId="0" borderId="31" xfId="0" applyFont="1" applyFill="1" applyBorder="1" applyAlignment="1">
      <alignment horizontal="distributed" vertical="center" justifyLastLine="1"/>
    </xf>
    <xf numFmtId="0" fontId="7" fillId="0" borderId="3" xfId="0" applyFont="1" applyFill="1" applyBorder="1" applyAlignment="1">
      <alignment horizontal="distributed" vertical="center" justifyLastLine="1"/>
    </xf>
    <xf numFmtId="0" fontId="7" fillId="0" borderId="1" xfId="0" applyFont="1" applyFill="1" applyBorder="1" applyAlignment="1">
      <alignment horizontal="distributed" vertical="center" justifyLastLine="1"/>
    </xf>
    <xf numFmtId="0" fontId="7" fillId="0" borderId="0" xfId="0" applyFont="1" applyAlignment="1">
      <alignment horizontal="distributed" vertical="center"/>
    </xf>
    <xf numFmtId="0" fontId="7" fillId="0" borderId="18"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23"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28" fillId="0" borderId="30" xfId="0" applyFont="1" applyFill="1" applyBorder="1" applyAlignment="1">
      <alignment horizontal="center" vertical="top"/>
    </xf>
    <xf numFmtId="0" fontId="28" fillId="0" borderId="33" xfId="0" applyFont="1" applyFill="1" applyBorder="1" applyAlignment="1">
      <alignment horizontal="center" vertical="top"/>
    </xf>
    <xf numFmtId="0" fontId="28" fillId="0" borderId="29" xfId="0" applyFont="1" applyFill="1" applyBorder="1" applyAlignment="1">
      <alignment horizontal="center" vertical="top"/>
    </xf>
    <xf numFmtId="0" fontId="7" fillId="0" borderId="17" xfId="0" applyFont="1" applyFill="1" applyBorder="1" applyAlignment="1">
      <alignment horizontal="center" vertical="center"/>
    </xf>
    <xf numFmtId="0" fontId="7" fillId="0" borderId="0" xfId="0" applyFont="1" applyFill="1" applyAlignment="1">
      <alignment horizontal="center" vertical="center"/>
    </xf>
    <xf numFmtId="0" fontId="7" fillId="0" borderId="24" xfId="0" applyFont="1" applyFill="1" applyBorder="1" applyAlignment="1">
      <alignment horizontal="center"/>
    </xf>
    <xf numFmtId="0" fontId="7" fillId="0" borderId="17" xfId="0" applyFont="1" applyFill="1" applyBorder="1" applyAlignment="1">
      <alignment horizontal="center"/>
    </xf>
    <xf numFmtId="0" fontId="7" fillId="0" borderId="22" xfId="0" applyFont="1" applyFill="1" applyBorder="1" applyAlignment="1">
      <alignment horizontal="center"/>
    </xf>
    <xf numFmtId="0" fontId="7" fillId="0" borderId="23" xfId="1" applyFont="1" applyBorder="1" applyAlignment="1">
      <alignment horizontal="center" vertical="center" textRotation="255"/>
    </xf>
    <xf numFmtId="0" fontId="7" fillId="0" borderId="31" xfId="1" applyFont="1" applyBorder="1" applyAlignment="1">
      <alignment horizontal="center" vertical="center" textRotation="255"/>
    </xf>
    <xf numFmtId="0" fontId="7" fillId="0" borderId="3" xfId="1" applyFont="1" applyBorder="1" applyAlignment="1">
      <alignment horizontal="distributed" vertical="center"/>
    </xf>
    <xf numFmtId="0" fontId="7" fillId="0" borderId="25" xfId="1" applyFont="1" applyBorder="1" applyAlignment="1">
      <alignment horizontal="distributed" vertical="center"/>
    </xf>
    <xf numFmtId="0" fontId="7" fillId="0" borderId="1" xfId="1" applyFont="1" applyBorder="1" applyAlignment="1">
      <alignment horizontal="distributed" vertical="center"/>
    </xf>
    <xf numFmtId="0" fontId="7" fillId="0" borderId="22" xfId="1" applyFont="1" applyBorder="1" applyAlignment="1">
      <alignment horizontal="distributed" vertical="center" justifyLastLine="1"/>
    </xf>
    <xf numFmtId="0" fontId="7" fillId="0" borderId="3" xfId="1" applyFont="1" applyBorder="1" applyAlignment="1">
      <alignment horizontal="distributed" vertical="center" justifyLastLine="1"/>
    </xf>
    <xf numFmtId="0" fontId="7" fillId="0" borderId="25" xfId="1" applyFont="1" applyBorder="1" applyAlignment="1">
      <alignment horizontal="distributed" vertical="center" justifyLastLine="1"/>
    </xf>
    <xf numFmtId="0" fontId="7" fillId="0" borderId="1" xfId="1" applyFont="1" applyBorder="1" applyAlignment="1">
      <alignment horizontal="distributed" vertical="center" justifyLastLine="1"/>
    </xf>
    <xf numFmtId="0" fontId="7" fillId="0" borderId="30" xfId="1" applyFont="1" applyBorder="1" applyAlignment="1">
      <alignment horizontal="center" vertical="center" wrapText="1"/>
    </xf>
    <xf numFmtId="0" fontId="7" fillId="0" borderId="1" xfId="1" applyFont="1" applyBorder="1" applyAlignment="1">
      <alignment horizontal="center" vertical="center" justifyLastLine="1"/>
    </xf>
    <xf numFmtId="0" fontId="7" fillId="0" borderId="24" xfId="1" applyFont="1" applyFill="1" applyBorder="1" applyAlignment="1">
      <alignment horizontal="center" vertical="distributed" textRotation="255" justifyLastLine="1"/>
    </xf>
    <xf numFmtId="0" fontId="7" fillId="0" borderId="30" xfId="1" applyFont="1" applyFill="1" applyBorder="1" applyAlignment="1">
      <alignment horizontal="center" vertical="distributed" textRotation="255" justifyLastLine="1"/>
    </xf>
    <xf numFmtId="0" fontId="7" fillId="0" borderId="22" xfId="1" applyFont="1" applyFill="1" applyBorder="1" applyAlignment="1">
      <alignment horizontal="distributed" vertical="center" justifyLastLine="1"/>
    </xf>
    <xf numFmtId="0" fontId="7" fillId="0" borderId="29" xfId="1" applyFont="1" applyFill="1" applyBorder="1" applyAlignment="1">
      <alignment horizontal="distributed" vertical="center" justifyLastLine="1"/>
    </xf>
    <xf numFmtId="0" fontId="7" fillId="0" borderId="23" xfId="1" applyFont="1" applyFill="1" applyBorder="1" applyAlignment="1">
      <alignment horizontal="center" vertical="distributed" textRotation="255" justifyLastLine="1"/>
    </xf>
    <xf numFmtId="0" fontId="7" fillId="0" borderId="31" xfId="1" applyFont="1" applyFill="1" applyBorder="1" applyAlignment="1">
      <alignment horizontal="center" vertical="distributed" textRotation="255" justifyLastLine="1"/>
    </xf>
    <xf numFmtId="0" fontId="7" fillId="0" borderId="3" xfId="1" applyFont="1" applyFill="1" applyBorder="1" applyAlignment="1">
      <alignment horizontal="distributed" vertical="center" wrapText="1" justifyLastLine="1"/>
    </xf>
    <xf numFmtId="0" fontId="7" fillId="0" borderId="25" xfId="1" applyFont="1" applyFill="1" applyBorder="1" applyAlignment="1">
      <alignment horizontal="distributed" vertical="center" justifyLastLine="1"/>
    </xf>
    <xf numFmtId="0" fontId="7" fillId="0" borderId="1" xfId="1" applyFont="1" applyFill="1" applyBorder="1" applyAlignment="1">
      <alignment horizontal="distributed" vertical="center" justifyLastLine="1"/>
    </xf>
    <xf numFmtId="0" fontId="7" fillId="0" borderId="23" xfId="1" applyFont="1" applyFill="1" applyBorder="1" applyAlignment="1">
      <alignment horizontal="center" vertical="center" textRotation="255" wrapText="1"/>
    </xf>
    <xf numFmtId="0" fontId="7" fillId="0" borderId="31" xfId="1" applyFont="1" applyFill="1" applyBorder="1" applyAlignment="1">
      <alignment horizontal="center" vertical="center" textRotation="255" wrapText="1"/>
    </xf>
    <xf numFmtId="0" fontId="7" fillId="0" borderId="23" xfId="1" applyFont="1" applyFill="1" applyBorder="1" applyAlignment="1">
      <alignment horizontal="center" vertical="distributed" textRotation="255" wrapText="1" justifyLastLine="1"/>
    </xf>
    <xf numFmtId="0" fontId="14" fillId="0" borderId="3"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23" xfId="1" applyFont="1" applyBorder="1" applyAlignment="1">
      <alignment horizontal="center" vertical="distributed" textRotation="255" justifyLastLine="1"/>
    </xf>
    <xf numFmtId="0" fontId="7" fillId="0" borderId="31" xfId="1" applyFont="1" applyBorder="1" applyAlignment="1">
      <alignment horizontal="center" vertical="distributed" textRotation="255" justifyLastLine="1"/>
    </xf>
    <xf numFmtId="0" fontId="7" fillId="0" borderId="24" xfId="1" applyFont="1" applyBorder="1" applyAlignment="1">
      <alignment horizontal="center" vertical="center" textRotation="255" wrapText="1"/>
    </xf>
    <xf numFmtId="0" fontId="7" fillId="0" borderId="30" xfId="1" applyFont="1" applyBorder="1" applyAlignment="1">
      <alignment horizontal="center" vertical="center" textRotation="255"/>
    </xf>
    <xf numFmtId="0" fontId="7" fillId="0" borderId="22" xfId="1" applyFont="1" applyBorder="1" applyAlignment="1">
      <alignment horizontal="center" vertical="distributed" textRotation="255" justifyLastLine="1"/>
    </xf>
    <xf numFmtId="0" fontId="7" fillId="0" borderId="29" xfId="1" applyFont="1" applyBorder="1" applyAlignment="1">
      <alignment horizontal="center" vertical="distributed" textRotation="255" justifyLastLine="1"/>
    </xf>
    <xf numFmtId="0" fontId="7" fillId="0" borderId="3" xfId="1" applyFont="1" applyBorder="1" applyAlignment="1">
      <alignment horizontal="distributed" vertical="center" wrapText="1" justifyLastLine="1"/>
    </xf>
    <xf numFmtId="0" fontId="7" fillId="0" borderId="25" xfId="1" applyFont="1" applyBorder="1" applyAlignment="1">
      <alignment horizontal="distributed" vertical="center" wrapText="1" justifyLastLine="1"/>
    </xf>
    <xf numFmtId="0" fontId="7" fillId="0" borderId="1" xfId="1" applyFont="1" applyBorder="1" applyAlignment="1">
      <alignment horizontal="distributed" vertical="center" wrapText="1" justifyLastLine="1"/>
    </xf>
    <xf numFmtId="0" fontId="7" fillId="0" borderId="23" xfId="1" applyFont="1" applyBorder="1" applyAlignment="1">
      <alignment horizontal="center" vertical="center" textRotation="255" wrapText="1"/>
    </xf>
    <xf numFmtId="0" fontId="7" fillId="0" borderId="23" xfId="1" applyFont="1" applyBorder="1" applyAlignment="1">
      <alignment horizontal="center" vertical="distributed" textRotation="255" wrapText="1" justifyLastLine="1"/>
    </xf>
    <xf numFmtId="0" fontId="28" fillId="0" borderId="3" xfId="1" applyFont="1" applyBorder="1" applyAlignment="1">
      <alignment horizontal="center" vertical="center" wrapText="1"/>
    </xf>
    <xf numFmtId="0" fontId="28"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 xfId="1" applyFont="1" applyBorder="1" applyAlignment="1">
      <alignment horizontal="center" vertical="center" wrapText="1"/>
    </xf>
    <xf numFmtId="0" fontId="7" fillId="0" borderId="24" xfId="1" applyFont="1" applyBorder="1" applyAlignment="1">
      <alignment horizontal="center" vertical="distributed" textRotation="255" justifyLastLine="1"/>
    </xf>
    <xf numFmtId="0" fontId="7" fillId="0" borderId="30" xfId="1" applyFont="1" applyBorder="1" applyAlignment="1">
      <alignment horizontal="center" vertical="distributed" textRotation="255" justifyLastLine="1"/>
    </xf>
    <xf numFmtId="0" fontId="7" fillId="0" borderId="2" xfId="1" applyFont="1" applyBorder="1" applyAlignment="1">
      <alignment horizontal="center" vertical="center"/>
    </xf>
    <xf numFmtId="0" fontId="7" fillId="0" borderId="19" xfId="1" applyFont="1" applyBorder="1" applyAlignment="1">
      <alignment horizontal="distributed" vertical="center"/>
    </xf>
    <xf numFmtId="0" fontId="7" fillId="0" borderId="32" xfId="1" applyFont="1" applyBorder="1" applyAlignment="1">
      <alignment horizontal="center" vertical="center"/>
    </xf>
    <xf numFmtId="0" fontId="7" fillId="0" borderId="21" xfId="1" applyFont="1" applyBorder="1" applyAlignment="1">
      <alignment horizontal="distributed" vertical="center"/>
    </xf>
    <xf numFmtId="0" fontId="7" fillId="0" borderId="6" xfId="0" applyFont="1" applyBorder="1" applyAlignment="1">
      <alignment horizontal="center" vertical="center"/>
    </xf>
    <xf numFmtId="0" fontId="7" fillId="0" borderId="2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4" xfId="0" applyFont="1" applyBorder="1" applyAlignment="1">
      <alignment horizontal="center" vertical="center"/>
    </xf>
    <xf numFmtId="0" fontId="7" fillId="0" borderId="17" xfId="0" applyFont="1" applyBorder="1" applyAlignment="1">
      <alignment horizontal="center" vertical="center"/>
    </xf>
    <xf numFmtId="0" fontId="7" fillId="0" borderId="2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9" xfId="0" applyFont="1" applyBorder="1" applyAlignment="1">
      <alignment horizontal="center" vertical="center" wrapText="1"/>
    </xf>
    <xf numFmtId="195" fontId="7" fillId="0" borderId="25" xfId="0" applyNumberFormat="1" applyFont="1" applyBorder="1" applyAlignment="1">
      <alignment horizontal="center" vertical="center"/>
    </xf>
    <xf numFmtId="195" fontId="7" fillId="0" borderId="1" xfId="0" applyNumberFormat="1" applyFont="1" applyBorder="1" applyAlignment="1">
      <alignment horizontal="center" vertical="center"/>
    </xf>
    <xf numFmtId="0" fontId="7" fillId="0" borderId="22" xfId="1" applyFont="1" applyBorder="1" applyAlignment="1">
      <alignment horizontal="center" vertical="center" textRotation="255"/>
    </xf>
    <xf numFmtId="0" fontId="7" fillId="0" borderId="18" xfId="1" applyFont="1" applyBorder="1" applyAlignment="1">
      <alignment horizontal="center" vertical="center" textRotation="255"/>
    </xf>
    <xf numFmtId="0" fontId="7" fillId="0" borderId="29" xfId="1" applyFont="1" applyBorder="1" applyAlignment="1">
      <alignment horizontal="center" vertical="center" textRotation="255"/>
    </xf>
    <xf numFmtId="0" fontId="7" fillId="0" borderId="6" xfId="1" applyFont="1" applyBorder="1" applyAlignment="1">
      <alignment horizontal="center" vertical="center"/>
    </xf>
    <xf numFmtId="0" fontId="7" fillId="0" borderId="34" xfId="1" applyFont="1" applyBorder="1" applyAlignment="1">
      <alignment horizontal="center" vertical="center"/>
    </xf>
    <xf numFmtId="0" fontId="7" fillId="0" borderId="26" xfId="1" applyFont="1" applyBorder="1" applyAlignment="1">
      <alignment horizontal="center" vertical="center" textRotation="255"/>
    </xf>
    <xf numFmtId="0" fontId="20" fillId="0" borderId="6" xfId="0" applyFont="1" applyBorder="1" applyAlignment="1">
      <alignment horizontal="justify" vertical="top" wrapText="1"/>
    </xf>
    <xf numFmtId="0" fontId="20" fillId="0" borderId="26" xfId="0" applyFont="1" applyBorder="1" applyAlignment="1">
      <alignment horizontal="left" vertical="top" wrapText="1"/>
    </xf>
    <xf numFmtId="0" fontId="20" fillId="0" borderId="20" xfId="0" applyFont="1" applyBorder="1" applyAlignment="1">
      <alignment horizontal="left" vertical="top" wrapText="1"/>
    </xf>
    <xf numFmtId="0" fontId="20" fillId="0" borderId="30" xfId="0" applyFont="1" applyBorder="1" applyAlignment="1">
      <alignment horizontal="left" vertical="top" wrapText="1"/>
    </xf>
    <xf numFmtId="0" fontId="7" fillId="0" borderId="24" xfId="0" applyFont="1" applyFill="1" applyBorder="1" applyAlignment="1">
      <alignment horizontal="center" vertical="center"/>
    </xf>
    <xf numFmtId="0" fontId="7" fillId="0" borderId="26"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7" fillId="0" borderId="76" xfId="1" applyFont="1" applyBorder="1" applyAlignment="1">
      <alignment horizontal="left" vertical="center" wrapText="1"/>
    </xf>
    <xf numFmtId="0" fontId="7" fillId="0" borderId="77" xfId="1" applyFont="1" applyBorder="1" applyAlignment="1">
      <alignment horizontal="left" vertical="center" wrapTex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20" fillId="0" borderId="28" xfId="12" applyFont="1" applyBorder="1" applyAlignment="1">
      <alignment horizontal="center" vertical="center"/>
    </xf>
    <xf numFmtId="0" fontId="20" fillId="0" borderId="31" xfId="12" applyFont="1" applyBorder="1" applyAlignment="1">
      <alignment horizontal="center" vertical="center"/>
    </xf>
    <xf numFmtId="0" fontId="20" fillId="0" borderId="5" xfId="12" applyFont="1" applyBorder="1" applyAlignment="1">
      <alignment horizontal="center" vertical="center"/>
    </xf>
    <xf numFmtId="0" fontId="20" fillId="0" borderId="5" xfId="12" applyFont="1" applyBorder="1" applyAlignment="1">
      <alignment horizontal="center" vertical="center" shrinkToFit="1"/>
    </xf>
    <xf numFmtId="0" fontId="7" fillId="0" borderId="24" xfId="12" applyFont="1" applyBorder="1" applyAlignment="1">
      <alignment horizontal="center" vertical="center"/>
    </xf>
    <xf numFmtId="0" fontId="7" fillId="0" borderId="17" xfId="12" applyFont="1" applyBorder="1" applyAlignment="1">
      <alignment horizontal="center" vertical="center"/>
    </xf>
    <xf numFmtId="0" fontId="7" fillId="0" borderId="20" xfId="12" applyFont="1" applyBorder="1" applyAlignment="1">
      <alignment horizontal="center" vertical="center"/>
    </xf>
    <xf numFmtId="0" fontId="7" fillId="0" borderId="0" xfId="12" applyFont="1" applyAlignment="1">
      <alignment horizontal="center" vertical="center"/>
    </xf>
    <xf numFmtId="0" fontId="7" fillId="0" borderId="30" xfId="12" applyFont="1" applyBorder="1" applyAlignment="1">
      <alignment horizontal="center" vertical="center"/>
    </xf>
    <xf numFmtId="0" fontId="7" fillId="0" borderId="33" xfId="12" applyFont="1" applyBorder="1" applyAlignment="1">
      <alignment horizontal="center" vertical="center"/>
    </xf>
    <xf numFmtId="0" fontId="7" fillId="0" borderId="22" xfId="12" applyFont="1" applyBorder="1" applyAlignment="1">
      <alignment horizontal="center" vertical="center"/>
    </xf>
    <xf numFmtId="0" fontId="7" fillId="0" borderId="18" xfId="12" applyFont="1" applyBorder="1" applyAlignment="1">
      <alignment horizontal="center" vertical="center"/>
    </xf>
    <xf numFmtId="0" fontId="7" fillId="0" borderId="29" xfId="12" applyFont="1" applyBorder="1" applyAlignment="1">
      <alignment horizontal="center" vertical="center"/>
    </xf>
    <xf numFmtId="0" fontId="7" fillId="0" borderId="2" xfId="12" applyFont="1" applyBorder="1" applyAlignment="1">
      <alignment horizontal="center" vertical="center"/>
    </xf>
    <xf numFmtId="0" fontId="7" fillId="0" borderId="5" xfId="12" applyFont="1" applyBorder="1" applyAlignment="1">
      <alignment horizontal="center" vertical="center"/>
    </xf>
    <xf numFmtId="0" fontId="7" fillId="0" borderId="2" xfId="12" applyFont="1" applyBorder="1" applyAlignment="1">
      <alignment horizontal="center" vertical="center" shrinkToFit="1"/>
    </xf>
    <xf numFmtId="0" fontId="7" fillId="0" borderId="5" xfId="12" applyFont="1" applyBorder="1" applyAlignment="1">
      <alignment horizontal="center" vertical="center" shrinkToFit="1"/>
    </xf>
    <xf numFmtId="38" fontId="11" fillId="0" borderId="22" xfId="2" applyFont="1" applyBorder="1" applyAlignment="1">
      <alignment horizontal="center" vertical="center" wrapText="1"/>
    </xf>
    <xf numFmtId="38" fontId="11" fillId="0" borderId="29" xfId="2" applyFont="1" applyBorder="1" applyAlignment="1">
      <alignment horizontal="center" vertical="center" wrapText="1"/>
    </xf>
    <xf numFmtId="38" fontId="11" fillId="0" borderId="3" xfId="2" applyFont="1" applyBorder="1" applyAlignment="1">
      <alignment horizontal="center" vertical="center" wrapText="1"/>
    </xf>
    <xf numFmtId="38" fontId="11" fillId="0" borderId="25" xfId="2" applyFont="1" applyBorder="1" applyAlignment="1">
      <alignment horizontal="center" vertical="center" wrapText="1"/>
    </xf>
    <xf numFmtId="38" fontId="11" fillId="0" borderId="1" xfId="2" applyFont="1" applyBorder="1" applyAlignment="1">
      <alignment horizontal="center" vertical="center" wrapTex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24" xfId="1" applyFont="1" applyBorder="1" applyAlignment="1">
      <alignment horizontal="center" vertical="center"/>
    </xf>
    <xf numFmtId="0" fontId="11" fillId="0" borderId="30" xfId="1" applyFont="1" applyBorder="1" applyAlignment="1">
      <alignment horizontal="center" vertical="center"/>
    </xf>
    <xf numFmtId="0" fontId="11" fillId="0" borderId="5" xfId="1" applyFont="1" applyBorder="1" applyAlignment="1">
      <alignment horizontal="center" vertical="center"/>
    </xf>
    <xf numFmtId="0" fontId="28" fillId="0" borderId="23" xfId="1" applyFont="1" applyBorder="1" applyAlignment="1">
      <alignment horizontal="center" vertical="center" wrapText="1"/>
    </xf>
    <xf numFmtId="0" fontId="28" fillId="0" borderId="19" xfId="1" applyFont="1" applyBorder="1" applyAlignment="1">
      <alignment horizontal="center" vertical="center" wrapText="1"/>
    </xf>
    <xf numFmtId="0" fontId="28" fillId="0" borderId="31" xfId="1" applyFont="1" applyBorder="1" applyAlignment="1">
      <alignment horizontal="center" vertical="center" wrapText="1"/>
    </xf>
    <xf numFmtId="0" fontId="28" fillId="0" borderId="19" xfId="1" applyFont="1" applyBorder="1" applyAlignment="1">
      <alignment horizontal="center" vertical="center"/>
    </xf>
    <xf numFmtId="0" fontId="28" fillId="0" borderId="31" xfId="1" applyFont="1" applyBorder="1" applyAlignment="1">
      <alignment horizontal="center" vertical="center"/>
    </xf>
    <xf numFmtId="0" fontId="7" fillId="0" borderId="10" xfId="0" applyFont="1" applyFill="1" applyBorder="1" applyAlignment="1">
      <alignment wrapText="1"/>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textRotation="255"/>
    </xf>
    <xf numFmtId="0" fontId="7" fillId="0" borderId="28" xfId="0" applyFont="1" applyFill="1" applyBorder="1" applyAlignment="1">
      <alignment vertical="center" textRotation="255"/>
    </xf>
    <xf numFmtId="0" fontId="7" fillId="0" borderId="31" xfId="0" applyFont="1" applyFill="1" applyBorder="1" applyAlignment="1">
      <alignment vertical="center" textRotation="255"/>
    </xf>
    <xf numFmtId="0" fontId="7" fillId="0" borderId="28" xfId="0" applyFont="1" applyFill="1" applyBorder="1" applyAlignment="1">
      <alignment horizontal="distributed" vertical="center" textRotation="255"/>
    </xf>
    <xf numFmtId="0" fontId="77" fillId="0" borderId="31" xfId="0" applyFont="1" applyFill="1" applyBorder="1"/>
    <xf numFmtId="0" fontId="7" fillId="0" borderId="5" xfId="0" applyFont="1" applyFill="1" applyBorder="1" applyAlignment="1">
      <alignment vertical="center" textRotation="255"/>
    </xf>
    <xf numFmtId="0" fontId="7" fillId="0" borderId="6" xfId="0" applyFont="1" applyFill="1" applyBorder="1" applyAlignment="1">
      <alignment vertical="center" textRotation="255"/>
    </xf>
    <xf numFmtId="0" fontId="9" fillId="0" borderId="32" xfId="1" applyFont="1" applyFill="1" applyBorder="1" applyAlignment="1">
      <alignment horizontal="center" vertical="distributed" textRotation="255" justifyLastLine="1"/>
    </xf>
    <xf numFmtId="0" fontId="2" fillId="0" borderId="0" xfId="1" applyFill="1" applyAlignment="1">
      <alignment horizontal="center" vertical="distributed" textRotation="255" justifyLastLine="1"/>
    </xf>
    <xf numFmtId="0" fontId="2" fillId="0" borderId="10" xfId="1" applyFill="1" applyBorder="1" applyAlignment="1">
      <alignment horizontal="center" vertical="distributed" textRotation="255" justifyLastLine="1"/>
    </xf>
    <xf numFmtId="0" fontId="9" fillId="0" borderId="17" xfId="1" applyFont="1" applyFill="1" applyBorder="1" applyAlignment="1">
      <alignment horizontal="center" vertical="center"/>
    </xf>
    <xf numFmtId="0" fontId="9" fillId="0" borderId="33"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32" xfId="1" applyFont="1" applyFill="1" applyBorder="1" applyAlignment="1">
      <alignment horizontal="center" vertical="distributed" textRotation="255" wrapText="1" justifyLastLine="1"/>
    </xf>
    <xf numFmtId="0" fontId="9" fillId="0" borderId="0" xfId="1" applyFont="1" applyFill="1" applyAlignment="1">
      <alignment horizontal="center" vertical="distributed" textRotation="255" wrapText="1" justifyLastLine="1"/>
    </xf>
    <xf numFmtId="0" fontId="9" fillId="0" borderId="33" xfId="1" applyFont="1" applyFill="1" applyBorder="1" applyAlignment="1">
      <alignment horizontal="center" vertical="distributed" textRotation="255" wrapText="1" justifyLastLine="1"/>
    </xf>
    <xf numFmtId="0" fontId="6" fillId="0" borderId="25" xfId="1" applyFont="1" applyBorder="1" applyAlignment="1">
      <alignment horizontal="center" vertical="center"/>
    </xf>
    <xf numFmtId="0" fontId="6" fillId="0" borderId="1" xfId="1" applyFont="1" applyBorder="1" applyAlignment="1">
      <alignment horizontal="center" vertical="center"/>
    </xf>
    <xf numFmtId="0" fontId="6" fillId="0" borderId="30" xfId="1" applyFont="1" applyBorder="1" applyAlignment="1">
      <alignment horizontal="center" vertical="center"/>
    </xf>
    <xf numFmtId="0" fontId="7" fillId="0" borderId="11"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1" xfId="1" applyFont="1" applyBorder="1" applyAlignment="1">
      <alignment horizontal="center" vertical="center"/>
    </xf>
    <xf numFmtId="58" fontId="7" fillId="0" borderId="28" xfId="1" applyNumberFormat="1" applyFont="1" applyBorder="1" applyAlignment="1">
      <alignment horizontal="center" vertical="center"/>
    </xf>
    <xf numFmtId="0" fontId="7" fillId="0" borderId="17" xfId="0" applyFont="1" applyBorder="1" applyAlignment="1">
      <alignment horizontal="left" vertical="center" wrapText="1"/>
    </xf>
    <xf numFmtId="0" fontId="7" fillId="0" borderId="17" xfId="0" applyFont="1" applyBorder="1" applyAlignment="1">
      <alignment horizontal="left" vertical="top" wrapText="1"/>
    </xf>
    <xf numFmtId="0" fontId="11" fillId="0" borderId="22" xfId="0" applyFont="1" applyFill="1" applyBorder="1" applyAlignment="1">
      <alignment horizontal="center" vertical="center"/>
    </xf>
    <xf numFmtId="0" fontId="11" fillId="0" borderId="29" xfId="0" applyFont="1" applyFill="1" applyBorder="1" applyAlignment="1">
      <alignment horizontal="center" vertical="center"/>
    </xf>
    <xf numFmtId="179" fontId="11" fillId="0" borderId="3" xfId="0" applyNumberFormat="1" applyFont="1" applyFill="1" applyBorder="1" applyAlignment="1">
      <alignment horizontal="center" vertical="center"/>
    </xf>
    <xf numFmtId="179" fontId="11" fillId="0" borderId="25"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xf>
    <xf numFmtId="179" fontId="11" fillId="0" borderId="23" xfId="0" applyNumberFormat="1" applyFont="1" applyFill="1" applyBorder="1" applyAlignment="1">
      <alignment horizontal="center" vertical="center" wrapText="1"/>
    </xf>
    <xf numFmtId="179" fontId="11" fillId="0" borderId="31" xfId="0" applyNumberFormat="1" applyFont="1" applyFill="1" applyBorder="1" applyAlignment="1">
      <alignment horizontal="center" vertical="center" wrapText="1"/>
    </xf>
    <xf numFmtId="179" fontId="7" fillId="0" borderId="23" xfId="0" applyNumberFormat="1" applyFont="1" applyFill="1" applyBorder="1" applyAlignment="1">
      <alignment horizontal="center" vertical="center" wrapText="1"/>
    </xf>
    <xf numFmtId="179" fontId="7" fillId="0" borderId="31" xfId="0" applyNumberFormat="1" applyFont="1" applyFill="1" applyBorder="1" applyAlignment="1">
      <alignment horizontal="center" vertical="center" wrapText="1"/>
    </xf>
    <xf numFmtId="179" fontId="7" fillId="0" borderId="23" xfId="0" applyNumberFormat="1" applyFont="1" applyFill="1" applyBorder="1" applyAlignment="1">
      <alignment horizontal="center" vertical="center"/>
    </xf>
    <xf numFmtId="179" fontId="7" fillId="0" borderId="31" xfId="0" applyNumberFormat="1" applyFont="1" applyFill="1" applyBorder="1" applyAlignment="1">
      <alignment horizontal="center" vertical="center"/>
    </xf>
    <xf numFmtId="179" fontId="7" fillId="0" borderId="22" xfId="0" applyNumberFormat="1" applyFont="1" applyFill="1" applyBorder="1" applyAlignment="1">
      <alignment horizontal="center" vertical="center"/>
    </xf>
    <xf numFmtId="179" fontId="7" fillId="0" borderId="29" xfId="0" applyNumberFormat="1" applyFont="1" applyFill="1" applyBorder="1" applyAlignment="1">
      <alignment horizontal="center" vertical="center"/>
    </xf>
    <xf numFmtId="179" fontId="7" fillId="0" borderId="3"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xf>
    <xf numFmtId="179" fontId="7" fillId="0" borderId="24" xfId="0" applyNumberFormat="1" applyFont="1" applyFill="1" applyBorder="1" applyAlignment="1">
      <alignment horizontal="center" vertical="center" wrapText="1"/>
    </xf>
    <xf numFmtId="179" fontId="7" fillId="0" borderId="30"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179" fontId="7" fillId="0" borderId="25" xfId="0" applyNumberFormat="1" applyFont="1" applyFill="1" applyBorder="1" applyAlignment="1">
      <alignment horizontal="center" vertical="center"/>
    </xf>
    <xf numFmtId="179" fontId="7" fillId="0" borderId="2" xfId="0" applyNumberFormat="1" applyFont="1" applyFill="1" applyBorder="1" applyAlignment="1">
      <alignment horizontal="center" vertical="center"/>
    </xf>
    <xf numFmtId="179" fontId="11" fillId="0" borderId="26" xfId="0" applyNumberFormat="1" applyFont="1" applyFill="1" applyBorder="1" applyAlignment="1">
      <alignment vertical="center" wrapText="1"/>
    </xf>
    <xf numFmtId="179" fontId="11" fillId="0" borderId="20" xfId="0" applyNumberFormat="1" applyFont="1" applyFill="1" applyBorder="1" applyAlignment="1">
      <alignment vertical="center" wrapText="1"/>
    </xf>
    <xf numFmtId="179" fontId="11" fillId="0" borderId="19" xfId="0" applyNumberFormat="1" applyFont="1" applyFill="1" applyBorder="1" applyAlignment="1">
      <alignment vertical="center"/>
    </xf>
    <xf numFmtId="0" fontId="7" fillId="0" borderId="5" xfId="0" applyFont="1" applyBorder="1" applyAlignment="1">
      <alignment horizontal="center" vertical="center"/>
    </xf>
    <xf numFmtId="0" fontId="9" fillId="0" borderId="4" xfId="10" applyFont="1" applyFill="1" applyBorder="1" applyAlignment="1">
      <alignment horizontal="center" vertical="center"/>
    </xf>
    <xf numFmtId="0" fontId="9" fillId="0" borderId="4" xfId="10" quotePrefix="1" applyFont="1" applyFill="1" applyBorder="1" applyAlignment="1">
      <alignment horizontal="center" vertical="center"/>
    </xf>
    <xf numFmtId="0" fontId="9" fillId="0" borderId="23" xfId="10" applyFont="1" applyFill="1" applyBorder="1" applyAlignment="1">
      <alignment horizontal="distributed" vertical="center" wrapText="1"/>
    </xf>
    <xf numFmtId="0" fontId="9" fillId="0" borderId="19" xfId="10" applyFont="1" applyFill="1" applyBorder="1" applyAlignment="1">
      <alignment horizontal="distributed" vertical="center" wrapText="1"/>
    </xf>
    <xf numFmtId="0" fontId="9" fillId="0" borderId="31" xfId="10" applyFont="1" applyFill="1" applyBorder="1" applyAlignment="1">
      <alignment horizontal="distributed" vertical="center" wrapText="1"/>
    </xf>
    <xf numFmtId="0" fontId="9" fillId="0" borderId="1" xfId="10" applyFont="1" applyFill="1" applyBorder="1" applyAlignment="1">
      <alignment horizontal="center" vertical="center"/>
    </xf>
    <xf numFmtId="0" fontId="9" fillId="0" borderId="2" xfId="10" applyFont="1" applyFill="1" applyBorder="1" applyAlignment="1">
      <alignment horizontal="center" vertical="center"/>
    </xf>
    <xf numFmtId="0" fontId="9" fillId="0" borderId="5" xfId="10" applyFont="1" applyFill="1" applyBorder="1" applyAlignment="1">
      <alignment horizontal="center" vertical="center"/>
    </xf>
    <xf numFmtId="49" fontId="9" fillId="0" borderId="27" xfId="10" applyNumberFormat="1" applyFont="1" applyFill="1" applyBorder="1" applyAlignment="1">
      <alignment horizontal="center" vertical="center"/>
    </xf>
    <xf numFmtId="49" fontId="9" fillId="0" borderId="29" xfId="10" applyNumberFormat="1" applyFont="1" applyFill="1" applyBorder="1" applyAlignment="1">
      <alignment horizontal="center" vertical="center"/>
    </xf>
    <xf numFmtId="0" fontId="9" fillId="0" borderId="27" xfId="10" applyFont="1" applyFill="1" applyBorder="1" applyAlignment="1">
      <alignment horizontal="center" vertical="center"/>
    </xf>
    <xf numFmtId="0" fontId="9" fillId="0" borderId="29" xfId="10" applyFont="1" applyFill="1" applyBorder="1" applyAlignment="1">
      <alignment horizontal="center" vertical="center"/>
    </xf>
    <xf numFmtId="0" fontId="9" fillId="0" borderId="29" xfId="10" quotePrefix="1" applyFont="1" applyFill="1" applyBorder="1" applyAlignment="1">
      <alignment horizontal="center" vertical="center"/>
    </xf>
    <xf numFmtId="0" fontId="9" fillId="0" borderId="3" xfId="10" applyFont="1" applyFill="1" applyBorder="1" applyAlignment="1">
      <alignment horizontal="distributed" vertical="center"/>
    </xf>
    <xf numFmtId="0" fontId="9" fillId="0" borderId="25" xfId="10" applyFont="1" applyFill="1" applyBorder="1" applyAlignment="1">
      <alignment horizontal="distributed" vertical="center"/>
    </xf>
    <xf numFmtId="0" fontId="9" fillId="0" borderId="6" xfId="10" applyFont="1" applyFill="1" applyBorder="1" applyAlignment="1">
      <alignment horizontal="center" vertical="center"/>
    </xf>
    <xf numFmtId="0" fontId="9" fillId="0" borderId="28" xfId="10" applyFont="1" applyFill="1" applyBorder="1" applyAlignment="1">
      <alignment horizontal="center" vertical="center"/>
    </xf>
    <xf numFmtId="0" fontId="9" fillId="0" borderId="31" xfId="10" applyFont="1" applyFill="1" applyBorder="1" applyAlignment="1">
      <alignment horizontal="center" vertical="center"/>
    </xf>
    <xf numFmtId="0" fontId="9" fillId="0" borderId="26" xfId="10" applyFont="1" applyFill="1" applyBorder="1" applyAlignment="1">
      <alignment horizontal="center" vertical="center"/>
    </xf>
    <xf numFmtId="0" fontId="9" fillId="0" borderId="30" xfId="10" applyFont="1" applyFill="1" applyBorder="1" applyAlignment="1">
      <alignment horizontal="center" vertical="center"/>
    </xf>
    <xf numFmtId="0" fontId="9" fillId="0" borderId="23" xfId="10" applyFont="1" applyFill="1" applyBorder="1" applyAlignment="1">
      <alignment horizontal="distributed" vertical="center"/>
    </xf>
    <xf numFmtId="0" fontId="9" fillId="0" borderId="19" xfId="10" applyFont="1" applyFill="1" applyBorder="1" applyAlignment="1">
      <alignment horizontal="distributed" vertical="center"/>
    </xf>
    <xf numFmtId="0" fontId="9" fillId="0" borderId="31" xfId="10" applyFont="1" applyFill="1" applyBorder="1" applyAlignment="1">
      <alignment horizontal="distributed" vertical="center"/>
    </xf>
    <xf numFmtId="0" fontId="9" fillId="0" borderId="1" xfId="10" applyFont="1" applyFill="1" applyBorder="1" applyAlignment="1">
      <alignment horizontal="distributed" vertical="center"/>
    </xf>
    <xf numFmtId="0" fontId="9" fillId="0" borderId="27" xfId="10" quotePrefix="1" applyFont="1" applyFill="1" applyBorder="1" applyAlignment="1">
      <alignment horizontal="center" vertical="center"/>
    </xf>
    <xf numFmtId="0" fontId="46" fillId="0" borderId="17" xfId="1" applyFont="1" applyBorder="1" applyAlignment="1">
      <alignment horizontal="left" vertical="center" wrapText="1"/>
    </xf>
    <xf numFmtId="188" fontId="7" fillId="0" borderId="27" xfId="0" applyNumberFormat="1" applyFont="1" applyFill="1" applyBorder="1" applyAlignment="1">
      <alignment horizontal="center" vertical="center"/>
    </xf>
    <xf numFmtId="188" fontId="7" fillId="0" borderId="29" xfId="0" applyNumberFormat="1" applyFont="1" applyFill="1" applyBorder="1" applyAlignment="1">
      <alignment horizontal="center" vertical="center"/>
    </xf>
    <xf numFmtId="188" fontId="7" fillId="0" borderId="18" xfId="0" applyNumberFormat="1" applyFont="1" applyFill="1" applyBorder="1" applyAlignment="1">
      <alignment horizontal="center" vertical="center"/>
    </xf>
    <xf numFmtId="188" fontId="7" fillId="0" borderId="11" xfId="0" applyNumberFormat="1" applyFont="1" applyFill="1" applyBorder="1" applyAlignment="1">
      <alignment horizontal="center" vertical="center"/>
    </xf>
    <xf numFmtId="0" fontId="7" fillId="0" borderId="10" xfId="1" applyFont="1" applyBorder="1" applyAlignment="1">
      <alignment vertical="center"/>
    </xf>
    <xf numFmtId="0" fontId="7" fillId="0" borderId="11" xfId="1" applyFont="1" applyBorder="1" applyAlignment="1">
      <alignment vertical="center"/>
    </xf>
    <xf numFmtId="0" fontId="11" fillId="0" borderId="79" xfId="1" applyFont="1" applyBorder="1" applyAlignment="1">
      <alignment vertical="center"/>
    </xf>
    <xf numFmtId="0" fontId="11" fillId="0" borderId="74" xfId="1" applyFont="1" applyBorder="1" applyAlignment="1">
      <alignment vertical="center"/>
    </xf>
    <xf numFmtId="0" fontId="7" fillId="0" borderId="34" xfId="1" applyFont="1" applyBorder="1" applyAlignment="1">
      <alignment vertical="center"/>
    </xf>
    <xf numFmtId="0" fontId="7" fillId="0" borderId="4" xfId="1" applyFont="1" applyBorder="1" applyAlignment="1">
      <alignment vertical="center"/>
    </xf>
    <xf numFmtId="0" fontId="7" fillId="0" borderId="28" xfId="0" applyFont="1" applyFill="1" applyBorder="1" applyAlignment="1">
      <alignment horizontal="right" vertical="center"/>
    </xf>
    <xf numFmtId="0" fontId="7" fillId="0" borderId="5" xfId="0" applyFont="1" applyFill="1" applyBorder="1" applyAlignment="1">
      <alignment horizontal="center" vertical="center" textRotation="255" wrapText="1"/>
    </xf>
    <xf numFmtId="0" fontId="7" fillId="0" borderId="17" xfId="0" applyFont="1" applyFill="1" applyBorder="1" applyAlignment="1">
      <alignment horizontal="left" vertical="center" wrapText="1"/>
    </xf>
    <xf numFmtId="0" fontId="7" fillId="0" borderId="17" xfId="0" applyFont="1" applyFill="1" applyBorder="1" applyAlignment="1">
      <alignment horizontal="left" vertical="center"/>
    </xf>
    <xf numFmtId="0" fontId="7" fillId="0" borderId="25" xfId="1" applyFont="1" applyBorder="1" applyAlignment="1">
      <alignment horizontal="center" vertical="center" wrapText="1"/>
    </xf>
    <xf numFmtId="0" fontId="7" fillId="0" borderId="29" xfId="1" applyFont="1" applyBorder="1" applyAlignment="1">
      <alignment horizontal="distributed" vertical="center"/>
    </xf>
    <xf numFmtId="0" fontId="7" fillId="0" borderId="26" xfId="1" applyFont="1" applyBorder="1" applyAlignment="1">
      <alignment horizontal="right" vertical="center" wrapText="1"/>
    </xf>
    <xf numFmtId="0" fontId="7" fillId="0" borderId="27" xfId="1" applyFont="1" applyBorder="1" applyAlignment="1">
      <alignment horizontal="right" vertical="center" wrapText="1"/>
    </xf>
    <xf numFmtId="0" fontId="7" fillId="0" borderId="32" xfId="1" applyFont="1" applyBorder="1" applyAlignment="1">
      <alignment horizontal="right" vertical="center" wrapText="1"/>
    </xf>
    <xf numFmtId="0" fontId="7" fillId="0" borderId="26" xfId="1" applyFont="1" applyBorder="1" applyAlignment="1">
      <alignment horizontal="right" vertical="center"/>
    </xf>
    <xf numFmtId="0" fontId="7" fillId="0" borderId="27" xfId="1" applyFont="1" applyBorder="1" applyAlignment="1">
      <alignment horizontal="right" vertical="center"/>
    </xf>
    <xf numFmtId="0" fontId="7" fillId="0" borderId="32" xfId="1" applyFont="1" applyBorder="1" applyAlignment="1">
      <alignment horizontal="right" vertical="center"/>
    </xf>
    <xf numFmtId="0" fontId="7" fillId="0" borderId="12" xfId="1" applyFont="1" applyBorder="1" applyAlignment="1">
      <alignment horizontal="center" vertical="center"/>
    </xf>
    <xf numFmtId="0" fontId="7" fillId="0" borderId="10" xfId="1" applyFont="1" applyBorder="1" applyAlignment="1">
      <alignment horizontal="center" vertical="center"/>
    </xf>
    <xf numFmtId="188" fontId="7" fillId="0" borderId="27" xfId="1" applyNumberFormat="1" applyFont="1" applyBorder="1" applyAlignment="1">
      <alignment horizontal="center" vertical="center"/>
    </xf>
    <xf numFmtId="188" fontId="7" fillId="0" borderId="29" xfId="1" applyNumberFormat="1" applyFont="1" applyBorder="1" applyAlignment="1">
      <alignment horizontal="center" vertical="center"/>
    </xf>
    <xf numFmtId="188" fontId="7" fillId="0" borderId="32" xfId="1" applyNumberFormat="1" applyFont="1" applyBorder="1" applyAlignment="1">
      <alignment horizontal="center" vertical="center"/>
    </xf>
    <xf numFmtId="188" fontId="7" fillId="0" borderId="33" xfId="1" applyNumberFormat="1" applyFont="1" applyBorder="1" applyAlignment="1">
      <alignment horizontal="center" vertical="center"/>
    </xf>
    <xf numFmtId="188" fontId="7" fillId="0" borderId="0" xfId="1" applyNumberFormat="1" applyFont="1" applyAlignment="1">
      <alignment horizontal="center" vertical="center"/>
    </xf>
    <xf numFmtId="188" fontId="7" fillId="0" borderId="10" xfId="1" applyNumberFormat="1" applyFont="1" applyBorder="1" applyAlignment="1">
      <alignment horizontal="center" vertical="center"/>
    </xf>
    <xf numFmtId="0" fontId="11" fillId="0" borderId="22" xfId="0" applyFont="1" applyFill="1" applyBorder="1" applyAlignment="1">
      <alignment horizontal="distributed" vertical="center"/>
    </xf>
    <xf numFmtId="0" fontId="11" fillId="0" borderId="29" xfId="0" applyFont="1" applyFill="1" applyBorder="1" applyAlignment="1">
      <alignment horizontal="distributed" vertical="center"/>
    </xf>
    <xf numFmtId="0" fontId="11" fillId="0" borderId="23" xfId="0" applyFont="1" applyFill="1" applyBorder="1" applyAlignment="1">
      <alignment horizontal="distributed" vertical="center" wrapText="1"/>
    </xf>
    <xf numFmtId="0" fontId="11" fillId="0" borderId="31" xfId="0" applyFont="1" applyFill="1" applyBorder="1" applyAlignment="1">
      <alignment horizontal="distributed" vertical="center"/>
    </xf>
    <xf numFmtId="0" fontId="11" fillId="0" borderId="24"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0" xfId="0" applyFont="1" applyFill="1" applyBorder="1" applyAlignment="1">
      <alignment horizontal="center" vertical="center"/>
    </xf>
    <xf numFmtId="0" fontId="49" fillId="0" borderId="0" xfId="14" applyFont="1" applyAlignment="1">
      <alignment horizontal="center" vertical="center"/>
    </xf>
    <xf numFmtId="0" fontId="3" fillId="0" borderId="28" xfId="14" applyFont="1" applyBorder="1" applyAlignment="1">
      <alignment horizontal="center" vertical="center" textRotation="255"/>
    </xf>
    <xf numFmtId="0" fontId="3" fillId="0" borderId="19" xfId="14" applyFont="1" applyBorder="1" applyAlignment="1">
      <alignment horizontal="center" vertical="center" textRotation="255"/>
    </xf>
    <xf numFmtId="0" fontId="3" fillId="0" borderId="31" xfId="14" applyFont="1" applyBorder="1" applyAlignment="1">
      <alignment horizontal="center" vertical="center" textRotation="255"/>
    </xf>
    <xf numFmtId="0" fontId="3" fillId="0" borderId="26" xfId="14" applyFont="1" applyBorder="1" applyAlignment="1">
      <alignment horizontal="center" vertical="center" textRotation="255"/>
    </xf>
    <xf numFmtId="0" fontId="3" fillId="0" borderId="27" xfId="14" applyFont="1" applyBorder="1" applyAlignment="1">
      <alignment horizontal="center" vertical="center" textRotation="255"/>
    </xf>
    <xf numFmtId="0" fontId="3" fillId="0" borderId="20" xfId="14" applyFont="1" applyBorder="1" applyAlignment="1">
      <alignment horizontal="center" vertical="center" textRotation="255"/>
    </xf>
    <xf numFmtId="0" fontId="3" fillId="0" borderId="18" xfId="14" applyFont="1" applyBorder="1" applyAlignment="1">
      <alignment horizontal="center" vertical="center" textRotation="255"/>
    </xf>
    <xf numFmtId="0" fontId="3" fillId="0" borderId="30" xfId="14" applyFont="1" applyBorder="1" applyAlignment="1">
      <alignment horizontal="center" vertical="center" textRotation="255"/>
    </xf>
    <xf numFmtId="0" fontId="3" fillId="0" borderId="29" xfId="14" applyFont="1" applyBorder="1" applyAlignment="1">
      <alignment horizontal="center" vertical="center" textRotation="255"/>
    </xf>
    <xf numFmtId="0" fontId="3" fillId="0" borderId="26" xfId="14" applyFont="1" applyBorder="1" applyAlignment="1">
      <alignment horizontal="center" vertical="center"/>
    </xf>
    <xf numFmtId="0" fontId="3" fillId="0" borderId="27" xfId="14" applyFont="1" applyBorder="1" applyAlignment="1">
      <alignment horizontal="center" vertical="center"/>
    </xf>
    <xf numFmtId="0" fontId="3" fillId="0" borderId="30" xfId="14" applyFont="1" applyBorder="1" applyAlignment="1">
      <alignment horizontal="center" vertical="center"/>
    </xf>
    <xf numFmtId="0" fontId="3" fillId="0" borderId="29" xfId="14" applyFont="1" applyBorder="1" applyAlignment="1">
      <alignment horizontal="center" vertical="center"/>
    </xf>
    <xf numFmtId="0" fontId="3" fillId="0" borderId="28" xfId="14" applyFont="1" applyBorder="1" applyAlignment="1">
      <alignment horizontal="center" vertical="center"/>
    </xf>
    <xf numFmtId="0" fontId="3" fillId="0" borderId="31" xfId="14" applyFont="1" applyBorder="1" applyAlignment="1">
      <alignment horizontal="center" vertical="center"/>
    </xf>
    <xf numFmtId="0" fontId="48" fillId="0" borderId="0" xfId="14" applyFont="1" applyAlignment="1">
      <alignment horizontal="left" vertical="center" wrapText="1"/>
    </xf>
    <xf numFmtId="0" fontId="48" fillId="0" borderId="0" xfId="14" applyAlignment="1">
      <alignment horizontal="left" vertical="center" wrapText="1"/>
    </xf>
    <xf numFmtId="0" fontId="48" fillId="0" borderId="0" xfId="14" applyAlignment="1">
      <alignment vertical="center" wrapText="1"/>
    </xf>
    <xf numFmtId="0" fontId="3" fillId="0" borderId="28" xfId="14" applyFont="1" applyBorder="1" applyAlignment="1">
      <alignment horizontal="center" vertical="center" shrinkToFit="1"/>
    </xf>
    <xf numFmtId="0" fontId="3" fillId="0" borderId="31" xfId="14" applyFont="1" applyBorder="1" applyAlignment="1">
      <alignment horizontal="center" vertical="center" shrinkToFit="1"/>
    </xf>
    <xf numFmtId="0" fontId="48" fillId="0" borderId="0" xfId="14" applyFont="1" applyAlignment="1">
      <alignment vertical="center" wrapText="1"/>
    </xf>
    <xf numFmtId="0" fontId="3" fillId="0" borderId="5" xfId="14" applyFont="1" applyBorder="1" applyAlignment="1">
      <alignment horizontal="center" vertical="center"/>
    </xf>
    <xf numFmtId="0" fontId="48" fillId="0" borderId="0" xfId="14" applyFont="1" applyAlignment="1">
      <alignment horizontal="left" vertical="top" wrapText="1"/>
    </xf>
    <xf numFmtId="0" fontId="3" fillId="0" borderId="26" xfId="14" applyFont="1" applyBorder="1" applyAlignment="1">
      <alignment horizontal="center" vertical="center" shrinkToFit="1"/>
    </xf>
    <xf numFmtId="0" fontId="3" fillId="0" borderId="27" xfId="14" applyFont="1" applyBorder="1" applyAlignment="1">
      <alignment horizontal="center" vertical="center" shrinkToFit="1"/>
    </xf>
    <xf numFmtId="0" fontId="3" fillId="0" borderId="30" xfId="14" applyFont="1" applyBorder="1" applyAlignment="1">
      <alignment horizontal="center" vertical="center" shrinkToFit="1"/>
    </xf>
    <xf numFmtId="0" fontId="3" fillId="0" borderId="29" xfId="14" applyFont="1" applyBorder="1" applyAlignment="1">
      <alignment horizontal="center" vertical="center" shrinkToFit="1"/>
    </xf>
    <xf numFmtId="0" fontId="3" fillId="0" borderId="32" xfId="14" applyFont="1" applyBorder="1" applyAlignment="1">
      <alignment horizontal="center" vertical="center"/>
    </xf>
    <xf numFmtId="0" fontId="48" fillId="0" borderId="0" xfId="14" applyFont="1" applyAlignment="1">
      <alignment vertical="top" wrapText="1"/>
    </xf>
    <xf numFmtId="0" fontId="3" fillId="0" borderId="28" xfId="14" applyFont="1" applyBorder="1" applyAlignment="1">
      <alignment vertical="center" textRotation="255" shrinkToFit="1"/>
    </xf>
    <xf numFmtId="0" fontId="3" fillId="0" borderId="19" xfId="14" applyFont="1" applyBorder="1" applyAlignment="1">
      <alignment vertical="center" textRotation="255" shrinkToFit="1"/>
    </xf>
    <xf numFmtId="0" fontId="3" fillId="0" borderId="31" xfId="14" applyFont="1" applyBorder="1" applyAlignment="1">
      <alignment vertical="center" textRotation="255" shrinkToFit="1"/>
    </xf>
    <xf numFmtId="0" fontId="3" fillId="0" borderId="26" xfId="14" applyFont="1" applyBorder="1" applyAlignment="1">
      <alignment horizontal="center" vertical="center" textRotation="255" shrinkToFit="1"/>
    </xf>
    <xf numFmtId="0" fontId="3" fillId="0" borderId="27" xfId="14" applyFont="1" applyBorder="1" applyAlignment="1">
      <alignment horizontal="center" vertical="center" textRotation="255" shrinkToFit="1"/>
    </xf>
    <xf numFmtId="0" fontId="3" fillId="0" borderId="20" xfId="14" applyFont="1" applyBorder="1" applyAlignment="1">
      <alignment horizontal="center" vertical="center" textRotation="255" shrinkToFit="1"/>
    </xf>
    <xf numFmtId="0" fontId="3" fillId="0" borderId="18" xfId="14" applyFont="1" applyBorder="1" applyAlignment="1">
      <alignment horizontal="center" vertical="center" textRotation="255" shrinkToFit="1"/>
    </xf>
    <xf numFmtId="0" fontId="3" fillId="0" borderId="30" xfId="14" applyFont="1" applyBorder="1" applyAlignment="1">
      <alignment horizontal="center" vertical="center" textRotation="255" shrinkToFit="1"/>
    </xf>
    <xf numFmtId="0" fontId="3" fillId="0" borderId="29" xfId="14" applyFont="1" applyBorder="1" applyAlignment="1">
      <alignment horizontal="center" vertical="center" textRotation="255" shrinkToFit="1"/>
    </xf>
    <xf numFmtId="0" fontId="3" fillId="0" borderId="28" xfId="14" applyFont="1" applyBorder="1" applyAlignment="1">
      <alignment horizontal="center" vertical="center" wrapText="1"/>
    </xf>
    <xf numFmtId="0" fontId="3" fillId="0" borderId="31" xfId="14" applyFont="1" applyBorder="1" applyAlignment="1">
      <alignment horizontal="center" vertical="center" wrapText="1"/>
    </xf>
    <xf numFmtId="0" fontId="48" fillId="0" borderId="0" xfId="14" applyFont="1" applyAlignment="1">
      <alignment vertical="center"/>
    </xf>
    <xf numFmtId="0" fontId="48" fillId="0" borderId="0" xfId="14" applyFont="1" applyAlignment="1">
      <alignment horizontal="left" vertical="center"/>
    </xf>
    <xf numFmtId="0" fontId="3" fillId="0" borderId="32" xfId="14" applyFont="1" applyBorder="1" applyAlignment="1">
      <alignment horizontal="center" vertical="center" shrinkToFit="1"/>
    </xf>
    <xf numFmtId="0" fontId="3" fillId="0" borderId="33" xfId="14" applyFont="1" applyBorder="1" applyAlignment="1">
      <alignment horizontal="center" vertical="center" shrinkToFit="1"/>
    </xf>
    <xf numFmtId="0" fontId="3" fillId="0" borderId="33" xfId="14" applyFont="1" applyBorder="1" applyAlignment="1">
      <alignment horizontal="center" vertical="center"/>
    </xf>
    <xf numFmtId="0" fontId="3" fillId="0" borderId="5" xfId="14" applyFont="1" applyBorder="1" applyAlignment="1">
      <alignment horizontal="center" vertical="center" shrinkToFit="1"/>
    </xf>
    <xf numFmtId="0" fontId="54" fillId="0" borderId="0" xfId="14" applyFont="1" applyAlignment="1">
      <alignment horizontal="right"/>
    </xf>
    <xf numFmtId="0" fontId="6" fillId="0" borderId="101" xfId="0" applyFont="1" applyBorder="1" applyAlignment="1">
      <alignment horizontal="distributed" vertical="center"/>
    </xf>
    <xf numFmtId="0" fontId="6" fillId="0" borderId="4" xfId="0" applyFont="1" applyBorder="1" applyAlignment="1">
      <alignment horizontal="distributed" vertical="center"/>
    </xf>
    <xf numFmtId="0" fontId="3" fillId="0" borderId="10" xfId="0" applyFont="1" applyBorder="1" applyAlignment="1">
      <alignment horizontal="center" vertical="center"/>
    </xf>
    <xf numFmtId="0" fontId="6" fillId="0" borderId="99" xfId="0" applyFont="1" applyBorder="1" applyAlignment="1">
      <alignment horizontal="center" vertical="center"/>
    </xf>
    <xf numFmtId="0" fontId="6" fillId="0" borderId="1" xfId="0" applyFont="1" applyBorder="1" applyAlignment="1">
      <alignment horizontal="center" vertical="center"/>
    </xf>
    <xf numFmtId="0" fontId="6" fillId="0" borderId="84" xfId="0" applyFont="1" applyBorder="1" applyAlignment="1">
      <alignment horizontal="distributed" vertical="center" textRotation="255"/>
    </xf>
    <xf numFmtId="0" fontId="6" fillId="0" borderId="41" xfId="0" applyFont="1" applyBorder="1" applyAlignment="1">
      <alignment horizontal="distributed" vertical="center" textRotation="255"/>
    </xf>
    <xf numFmtId="0" fontId="6" fillId="0" borderId="38" xfId="0" applyFont="1" applyBorder="1" applyAlignment="1">
      <alignment horizontal="distributed" vertical="center" textRotation="255"/>
    </xf>
    <xf numFmtId="0" fontId="6" fillId="0" borderId="101" xfId="0" applyFont="1" applyBorder="1" applyAlignment="1">
      <alignment horizontal="center" vertical="center"/>
    </xf>
    <xf numFmtId="0" fontId="6" fillId="0" borderId="4" xfId="0" applyFont="1" applyBorder="1" applyAlignment="1">
      <alignment horizontal="center" vertical="center"/>
    </xf>
    <xf numFmtId="0" fontId="6" fillId="0" borderId="103" xfId="0" applyFont="1" applyBorder="1" applyAlignment="1">
      <alignment horizontal="center" vertical="center"/>
    </xf>
    <xf numFmtId="0" fontId="6" fillId="0" borderId="7" xfId="0" applyFont="1" applyBorder="1" applyAlignment="1">
      <alignment horizontal="center" vertical="center"/>
    </xf>
    <xf numFmtId="0" fontId="78" fillId="0" borderId="101" xfId="0" applyFont="1" applyBorder="1" applyAlignment="1">
      <alignment horizontal="center" vertical="center"/>
    </xf>
    <xf numFmtId="0" fontId="78" fillId="0" borderId="4" xfId="0" applyFont="1" applyBorder="1" applyAlignment="1">
      <alignment horizontal="center" vertical="center"/>
    </xf>
    <xf numFmtId="0" fontId="9" fillId="0" borderId="25" xfId="1" applyFont="1" applyBorder="1" applyAlignment="1">
      <alignment horizontal="center" vertical="center"/>
    </xf>
    <xf numFmtId="0" fontId="9" fillId="0" borderId="1" xfId="1" applyFont="1" applyBorder="1" applyAlignment="1">
      <alignment horizontal="center" vertical="center"/>
    </xf>
    <xf numFmtId="0" fontId="7" fillId="0" borderId="34" xfId="1" applyFont="1" applyBorder="1" applyAlignment="1">
      <alignment horizontal="distributed" vertical="center"/>
    </xf>
    <xf numFmtId="0" fontId="7" fillId="0" borderId="4" xfId="1" applyFont="1" applyBorder="1" applyAlignment="1">
      <alignment horizontal="distributed" vertical="center"/>
    </xf>
    <xf numFmtId="0" fontId="7" fillId="0" borderId="6" xfId="1" applyFont="1" applyBorder="1" applyAlignment="1">
      <alignment horizontal="distributed" vertical="center"/>
    </xf>
    <xf numFmtId="0" fontId="7" fillId="0" borderId="28" xfId="1" applyFont="1" applyBorder="1" applyAlignment="1">
      <alignment vertical="center"/>
    </xf>
    <xf numFmtId="0" fontId="7" fillId="0" borderId="19" xfId="1" applyFont="1" applyBorder="1" applyAlignment="1">
      <alignment vertical="center"/>
    </xf>
    <xf numFmtId="0" fontId="7" fillId="0" borderId="31" xfId="1" applyFont="1" applyBorder="1" applyAlignment="1">
      <alignment vertical="center"/>
    </xf>
    <xf numFmtId="0" fontId="7" fillId="0" borderId="28" xfId="1" applyFont="1" applyBorder="1" applyAlignment="1">
      <alignment horizontal="distributed" vertical="center"/>
    </xf>
    <xf numFmtId="0" fontId="7" fillId="0" borderId="31" xfId="1" applyFont="1" applyBorder="1" applyAlignment="1">
      <alignment horizontal="distributed" vertical="center"/>
    </xf>
    <xf numFmtId="0" fontId="9" fillId="0" borderId="27" xfId="1" applyFont="1" applyBorder="1" applyAlignment="1">
      <alignment horizontal="center" vertical="center"/>
    </xf>
    <xf numFmtId="0" fontId="9" fillId="0" borderId="29" xfId="1" applyFont="1" applyBorder="1" applyAlignment="1">
      <alignment horizontal="center" vertical="center"/>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7" fillId="0" borderId="27" xfId="1" applyFont="1" applyBorder="1" applyAlignment="1">
      <alignment horizontal="distributed" vertical="center" wrapText="1"/>
    </xf>
    <xf numFmtId="0" fontId="7" fillId="0" borderId="18" xfId="1" applyFont="1" applyBorder="1" applyAlignment="1">
      <alignment horizontal="distributed" vertical="center" wrapText="1"/>
    </xf>
    <xf numFmtId="0" fontId="7" fillId="0" borderId="29" xfId="1" applyFont="1" applyBorder="1" applyAlignment="1">
      <alignment horizontal="distributed" vertical="center" wrapText="1"/>
    </xf>
    <xf numFmtId="0" fontId="7" fillId="0" borderId="34" xfId="1" applyFont="1" applyBorder="1" applyAlignment="1">
      <alignment horizontal="distributed" vertical="center" wrapText="1"/>
    </xf>
    <xf numFmtId="0" fontId="7" fillId="0" borderId="4" xfId="1" applyFont="1" applyBorder="1" applyAlignment="1">
      <alignment horizontal="distributed" vertical="center" wrapText="1"/>
    </xf>
    <xf numFmtId="0" fontId="7" fillId="0" borderId="49" xfId="1" applyFont="1" applyBorder="1" applyAlignment="1">
      <alignment horizontal="distributed" vertical="center"/>
    </xf>
    <xf numFmtId="0" fontId="7" fillId="0" borderId="7" xfId="1" applyFont="1" applyBorder="1" applyAlignment="1">
      <alignment horizontal="distributed" vertical="center"/>
    </xf>
    <xf numFmtId="0" fontId="7" fillId="0" borderId="0" xfId="0" applyFont="1" applyFill="1" applyBorder="1" applyAlignment="1">
      <alignment horizontal="center" vertical="center"/>
    </xf>
    <xf numFmtId="0" fontId="27" fillId="0" borderId="0" xfId="0" applyFont="1" applyAlignment="1">
      <alignment vertical="center"/>
    </xf>
    <xf numFmtId="38" fontId="27" fillId="0" borderId="0" xfId="2" applyFont="1" applyFill="1" applyAlignment="1">
      <alignment vertical="center"/>
    </xf>
    <xf numFmtId="0" fontId="11" fillId="0" borderId="17" xfId="0" applyFont="1" applyBorder="1" applyAlignment="1">
      <alignment horizontal="distributed" vertical="center" justifyLastLine="1"/>
    </xf>
    <xf numFmtId="0" fontId="11" fillId="0" borderId="22" xfId="0" applyFont="1" applyBorder="1" applyAlignment="1">
      <alignment horizontal="distributed" vertical="center" justifyLastLine="1"/>
    </xf>
    <xf numFmtId="0" fontId="11" fillId="0" borderId="3" xfId="0" applyFont="1" applyBorder="1" applyAlignment="1">
      <alignment horizontal="distributed" vertical="center" justifyLastLine="1"/>
    </xf>
    <xf numFmtId="0" fontId="11" fillId="0" borderId="25" xfId="0" applyFont="1" applyBorder="1" applyAlignment="1">
      <alignment horizontal="distributed" vertical="center" justifyLastLine="1"/>
    </xf>
    <xf numFmtId="0" fontId="11" fillId="0" borderId="0" xfId="0" applyFont="1" applyAlignment="1">
      <alignment vertical="center"/>
    </xf>
    <xf numFmtId="0" fontId="11" fillId="0" borderId="33" xfId="0" applyFont="1" applyBorder="1" applyAlignment="1">
      <alignment horizontal="distributed" vertical="center" justifyLastLine="1"/>
    </xf>
    <xf numFmtId="0" fontId="11" fillId="0" borderId="29" xfId="0" applyFont="1" applyBorder="1" applyAlignment="1">
      <alignment horizontal="distributed" vertical="center" justifyLastLine="1"/>
    </xf>
    <xf numFmtId="0" fontId="11" fillId="0" borderId="6" xfId="0" applyFont="1" applyBorder="1" applyAlignment="1">
      <alignment horizontal="distributed" vertical="center" justifyLastLine="1"/>
    </xf>
    <xf numFmtId="0" fontId="11" fillId="0" borderId="6" xfId="0" applyFont="1" applyBorder="1" applyAlignment="1">
      <alignment horizontal="distributed" vertical="center" justifyLastLine="1"/>
    </xf>
    <xf numFmtId="0" fontId="11" fillId="0" borderId="4" xfId="0" applyFont="1" applyBorder="1" applyAlignment="1">
      <alignment horizontal="distributed" vertical="center" justifyLastLine="1"/>
    </xf>
    <xf numFmtId="0" fontId="11" fillId="0" borderId="34" xfId="0" applyFont="1" applyBorder="1" applyAlignment="1">
      <alignment horizontal="distributed" vertical="center" justifyLastLine="1"/>
    </xf>
    <xf numFmtId="0" fontId="11" fillId="0" borderId="32" xfId="0" applyFont="1" applyBorder="1" applyAlignment="1">
      <alignment horizontal="distributed" vertical="center" justifyLastLine="1"/>
    </xf>
    <xf numFmtId="0" fontId="11" fillId="0" borderId="27" xfId="0" applyFont="1" applyBorder="1" applyAlignment="1">
      <alignment horizontal="distributed" vertical="center" justifyLastLine="1"/>
    </xf>
    <xf numFmtId="0" fontId="11" fillId="0" borderId="28" xfId="0" applyFont="1" applyBorder="1" applyAlignment="1">
      <alignment vertical="center"/>
    </xf>
    <xf numFmtId="183" fontId="11" fillId="0" borderId="26" xfId="2" applyNumberFormat="1" applyFont="1" applyFill="1" applyBorder="1" applyAlignment="1">
      <alignment horizontal="right" vertical="center"/>
    </xf>
    <xf numFmtId="0" fontId="11" fillId="0" borderId="27" xfId="0" applyFont="1" applyBorder="1" applyAlignment="1">
      <alignment horizontal="center" vertical="center"/>
    </xf>
    <xf numFmtId="58" fontId="11" fillId="0" borderId="20" xfId="0" applyNumberFormat="1" applyFont="1" applyBorder="1" applyAlignment="1">
      <alignment horizontal="center" vertical="center"/>
    </xf>
    <xf numFmtId="0" fontId="11" fillId="0" borderId="0" xfId="0" applyFont="1" applyAlignment="1">
      <alignment horizontal="distributed" vertical="center" justifyLastLine="1"/>
    </xf>
    <xf numFmtId="0" fontId="11" fillId="0" borderId="18" xfId="0" applyFont="1" applyBorder="1" applyAlignment="1">
      <alignment horizontal="distributed" vertical="center" justifyLastLine="1"/>
    </xf>
    <xf numFmtId="0" fontId="11" fillId="0" borderId="19" xfId="0" applyFont="1" applyBorder="1" applyAlignment="1">
      <alignment vertical="center"/>
    </xf>
    <xf numFmtId="0" fontId="11" fillId="0" borderId="20" xfId="2" applyNumberFormat="1" applyFont="1" applyFill="1" applyBorder="1" applyAlignment="1">
      <alignment horizontal="right" vertical="center"/>
    </xf>
    <xf numFmtId="0" fontId="11" fillId="0" borderId="20" xfId="0" applyFont="1" applyBorder="1" applyAlignment="1">
      <alignment horizontal="center" vertical="center"/>
    </xf>
    <xf numFmtId="0" fontId="11" fillId="0" borderId="31" xfId="0" applyFont="1" applyBorder="1" applyAlignment="1">
      <alignment vertical="center"/>
    </xf>
    <xf numFmtId="0" fontId="11" fillId="0" borderId="30" xfId="2" applyNumberFormat="1" applyFont="1" applyFill="1" applyBorder="1" applyAlignment="1">
      <alignment horizontal="right"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3" xfId="0" applyFont="1" applyBorder="1" applyAlignment="1">
      <alignment vertical="center"/>
    </xf>
    <xf numFmtId="0" fontId="11" fillId="0" borderId="84" xfId="0" applyFont="1" applyBorder="1" applyAlignment="1">
      <alignment horizontal="center" vertical="center" wrapText="1"/>
    </xf>
    <xf numFmtId="0" fontId="11" fillId="0" borderId="28" xfId="0" applyFont="1" applyBorder="1" applyAlignment="1">
      <alignment horizontal="distributed" vertical="center" wrapText="1" justifyLastLine="1"/>
    </xf>
    <xf numFmtId="213" fontId="11" fillId="0" borderId="28" xfId="0" applyNumberFormat="1" applyFont="1" applyBorder="1" applyAlignment="1">
      <alignment vertical="center"/>
    </xf>
    <xf numFmtId="213" fontId="11" fillId="0" borderId="27" xfId="0" applyNumberFormat="1" applyFont="1" applyBorder="1" applyAlignment="1">
      <alignment horizontal="center" vertical="center"/>
    </xf>
    <xf numFmtId="0" fontId="11" fillId="0" borderId="26" xfId="0" applyFont="1" applyBorder="1" applyAlignment="1">
      <alignment horizontal="center" vertical="center"/>
    </xf>
    <xf numFmtId="0" fontId="11" fillId="0" borderId="32" xfId="0" applyFont="1" applyBorder="1" applyAlignment="1">
      <alignment vertical="center"/>
    </xf>
    <xf numFmtId="0" fontId="11" fillId="0" borderId="41" xfId="0" applyFont="1" applyBorder="1" applyAlignment="1">
      <alignment horizontal="center" vertical="center"/>
    </xf>
    <xf numFmtId="0" fontId="11" fillId="0" borderId="19" xfId="0" applyFont="1" applyBorder="1" applyAlignment="1">
      <alignment horizontal="distributed" vertical="center" wrapText="1" justifyLastLine="1"/>
    </xf>
    <xf numFmtId="213" fontId="11" fillId="0" borderId="19" xfId="0" applyNumberFormat="1" applyFont="1" applyBorder="1" applyAlignment="1">
      <alignment vertical="center"/>
    </xf>
    <xf numFmtId="183" fontId="11" fillId="0" borderId="20" xfId="2" applyNumberFormat="1" applyFont="1" applyFill="1" applyBorder="1" applyAlignment="1">
      <alignment horizontal="right" vertical="center"/>
    </xf>
    <xf numFmtId="213" fontId="11" fillId="0" borderId="18" xfId="0" applyNumberFormat="1" applyFont="1" applyBorder="1" applyAlignment="1">
      <alignment horizontal="center" vertical="center"/>
    </xf>
    <xf numFmtId="0" fontId="11" fillId="0" borderId="31" xfId="0" applyFont="1" applyBorder="1" applyAlignment="1">
      <alignment horizontal="distributed" vertical="center" wrapText="1" justifyLastLine="1"/>
    </xf>
    <xf numFmtId="213" fontId="11" fillId="0" borderId="18" xfId="0" applyNumberFormat="1" applyFont="1" applyBorder="1" applyAlignment="1">
      <alignment horizontal="left" vertical="center"/>
    </xf>
    <xf numFmtId="0" fontId="11" fillId="0" borderId="38" xfId="0" applyFont="1" applyBorder="1" applyAlignment="1">
      <alignment horizontal="center" vertical="center"/>
    </xf>
    <xf numFmtId="0" fontId="11" fillId="0" borderId="5" xfId="0" applyFont="1" applyBorder="1" applyAlignment="1">
      <alignment horizontal="distributed" vertical="center" wrapText="1" justifyLastLine="1"/>
    </xf>
    <xf numFmtId="213" fontId="11" fillId="0" borderId="5" xfId="0" applyNumberFormat="1" applyFont="1" applyBorder="1" applyAlignment="1">
      <alignment vertical="center"/>
    </xf>
    <xf numFmtId="183" fontId="11" fillId="0" borderId="6" xfId="2" applyNumberFormat="1" applyFont="1" applyFill="1" applyBorder="1" applyAlignment="1">
      <alignment horizontal="right" vertical="center"/>
    </xf>
    <xf numFmtId="213" fontId="11" fillId="0" borderId="4"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34" xfId="0" applyFont="1" applyBorder="1" applyAlignment="1">
      <alignment vertical="center"/>
    </xf>
    <xf numFmtId="0" fontId="11" fillId="0" borderId="32" xfId="0" applyFont="1" applyBorder="1" applyAlignment="1">
      <alignment horizontal="center" vertical="center" justifyLastLine="1"/>
    </xf>
    <xf numFmtId="0" fontId="11" fillId="0" borderId="27" xfId="0" applyFont="1" applyBorder="1" applyAlignment="1">
      <alignment horizontal="center" vertical="center" justifyLastLine="1"/>
    </xf>
    <xf numFmtId="38" fontId="11" fillId="0" borderId="26" xfId="2" applyFont="1" applyFill="1" applyBorder="1" applyAlignment="1">
      <alignment horizontal="right" vertical="center"/>
    </xf>
    <xf numFmtId="0" fontId="11" fillId="0" borderId="0" xfId="0" applyFont="1" applyAlignment="1">
      <alignment horizontal="center" vertical="center" justifyLastLine="1"/>
    </xf>
    <xf numFmtId="0" fontId="11" fillId="0" borderId="18" xfId="0" applyFont="1" applyBorder="1" applyAlignment="1">
      <alignment horizontal="center" vertical="center" justifyLastLine="1"/>
    </xf>
    <xf numFmtId="213" fontId="11" fillId="0" borderId="31" xfId="0" applyNumberFormat="1" applyFont="1" applyBorder="1" applyAlignment="1">
      <alignment vertical="center"/>
    </xf>
    <xf numFmtId="38" fontId="11" fillId="0" borderId="30" xfId="2" applyFont="1" applyFill="1" applyBorder="1" applyAlignment="1">
      <alignment horizontal="right" vertical="center"/>
    </xf>
    <xf numFmtId="213" fontId="11" fillId="0" borderId="29" xfId="0" applyNumberFormat="1" applyFont="1" applyBorder="1" applyAlignment="1">
      <alignment horizontal="center" vertical="center"/>
    </xf>
    <xf numFmtId="0" fontId="11" fillId="0" borderId="6" xfId="2" applyNumberFormat="1" applyFont="1" applyFill="1" applyBorder="1" applyAlignment="1">
      <alignment horizontal="right" vertical="center"/>
    </xf>
    <xf numFmtId="0" fontId="11" fillId="0" borderId="49" xfId="0" applyFont="1" applyBorder="1" applyAlignment="1">
      <alignment horizontal="distributed" vertical="center" justifyLastLine="1"/>
    </xf>
    <xf numFmtId="213" fontId="11" fillId="0" borderId="8" xfId="0" applyNumberFormat="1" applyFont="1" applyBorder="1" applyAlignment="1">
      <alignment vertical="center" wrapText="1"/>
    </xf>
    <xf numFmtId="0" fontId="11" fillId="0" borderId="49" xfId="2" applyNumberFormat="1" applyFont="1" applyFill="1" applyBorder="1" applyAlignment="1">
      <alignment horizontal="right" vertical="center"/>
    </xf>
    <xf numFmtId="213" fontId="11" fillId="0" borderId="7" xfId="0" applyNumberFormat="1" applyFont="1" applyBorder="1" applyAlignment="1">
      <alignment horizontal="center" vertical="center"/>
    </xf>
    <xf numFmtId="0" fontId="11" fillId="0" borderId="49" xfId="0" applyFont="1" applyBorder="1" applyAlignment="1">
      <alignment horizontal="center" vertical="center"/>
    </xf>
    <xf numFmtId="0" fontId="11" fillId="0" borderId="49" xfId="0" applyFont="1" applyBorder="1" applyAlignment="1">
      <alignment vertical="center"/>
    </xf>
    <xf numFmtId="0" fontId="11" fillId="0" borderId="7" xfId="0" applyFont="1" applyBorder="1" applyAlignment="1">
      <alignment vertical="center"/>
    </xf>
    <xf numFmtId="38" fontId="11" fillId="0" borderId="0" xfId="2" applyFont="1" applyFill="1" applyAlignment="1">
      <alignment vertical="center"/>
    </xf>
    <xf numFmtId="38" fontId="27" fillId="0" borderId="0" xfId="2" applyFont="1" applyAlignment="1">
      <alignment vertical="center"/>
    </xf>
    <xf numFmtId="0" fontId="12" fillId="0" borderId="10" xfId="1" applyFont="1" applyBorder="1" applyAlignment="1">
      <alignment vertical="center"/>
    </xf>
  </cellXfs>
  <cellStyles count="17">
    <cellStyle name="パーセント" xfId="16" builtinId="5"/>
    <cellStyle name="パーセント 2" xfId="4" xr:uid="{E4CEF9C2-5F60-4952-A5A9-86F3742B3E08}"/>
    <cellStyle name="ハイパーリンク" xfId="15" builtinId="8"/>
    <cellStyle name="ハイパーリンク 2" xfId="3" xr:uid="{90350033-B4CE-40A8-BF19-CEAC1F8C7ABA}"/>
    <cellStyle name="桁区切り" xfId="9" builtinId="6"/>
    <cellStyle name="桁区切り 2" xfId="2" xr:uid="{0E1A7826-170F-4FDF-ABEF-1F2EBC5E6E4C}"/>
    <cellStyle name="桁区切り 3" xfId="11" xr:uid="{97DCA47F-6394-489D-A7CB-C50D207510F6}"/>
    <cellStyle name="桁区切り 4" xfId="13" xr:uid="{06EF9196-2D12-47A4-BE97-8BAAB3F756D2}"/>
    <cellStyle name="標準" xfId="0" builtinId="0"/>
    <cellStyle name="標準 2" xfId="1" xr:uid="{D49A3819-82E5-43E4-8C0B-150FC0492C2E}"/>
    <cellStyle name="標準 2 2" xfId="5" xr:uid="{A45EFC33-8B37-4EBB-9212-CD7B0585ABAF}"/>
    <cellStyle name="標準 2 2 2" xfId="7" xr:uid="{AD3139BE-8D63-4BBF-BA5B-FBF20D07FD46}"/>
    <cellStyle name="標準 3" xfId="10" xr:uid="{192E0662-B3FE-4E1D-91A4-A114294D908A}"/>
    <cellStyle name="標準 4" xfId="6" xr:uid="{6639A943-324E-4A49-B3C4-BB312FFAC2C8}"/>
    <cellStyle name="標準 5" xfId="12" xr:uid="{896A1C14-4D2A-4881-B936-7B59E1F2D080}"/>
    <cellStyle name="標準 6" xfId="14" xr:uid="{29F4BBA9-3747-420A-B9D5-2BE4391C3158}"/>
    <cellStyle name="標準_JB16" xfId="8" xr:uid="{DCA87A2C-606D-4019-BD0A-F21F5391F2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90348</xdr:colOff>
      <xdr:row>3</xdr:row>
      <xdr:rowOff>224118</xdr:rowOff>
    </xdr:from>
    <xdr:to>
      <xdr:col>0</xdr:col>
      <xdr:colOff>1529893</xdr:colOff>
      <xdr:row>3</xdr:row>
      <xdr:rowOff>1663663</xdr:rowOff>
    </xdr:to>
    <xdr:pic>
      <xdr:nvPicPr>
        <xdr:cNvPr id="2" name="図 1">
          <a:extLst>
            <a:ext uri="{FF2B5EF4-FFF2-40B4-BE49-F238E27FC236}">
              <a16:creationId xmlns:a16="http://schemas.microsoft.com/office/drawing/2014/main" id="{80DA0367-6531-41A7-AFB0-553B130BB1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348" y="1266265"/>
          <a:ext cx="1439545" cy="1439545"/>
        </a:xfrm>
        <a:prstGeom prst="rect">
          <a:avLst/>
        </a:prstGeom>
        <a:noFill/>
        <a:ln>
          <a:noFill/>
        </a:ln>
      </xdr:spPr>
    </xdr:pic>
    <xdr:clientData/>
  </xdr:twoCellAnchor>
  <xdr:twoCellAnchor editAs="oneCell">
    <xdr:from>
      <xdr:col>0</xdr:col>
      <xdr:colOff>90348</xdr:colOff>
      <xdr:row>4</xdr:row>
      <xdr:rowOff>221317</xdr:rowOff>
    </xdr:from>
    <xdr:to>
      <xdr:col>0</xdr:col>
      <xdr:colOff>1529893</xdr:colOff>
      <xdr:row>4</xdr:row>
      <xdr:rowOff>1660862</xdr:rowOff>
    </xdr:to>
    <xdr:pic>
      <xdr:nvPicPr>
        <xdr:cNvPr id="3" name="図 2">
          <a:extLst>
            <a:ext uri="{FF2B5EF4-FFF2-40B4-BE49-F238E27FC236}">
              <a16:creationId xmlns:a16="http://schemas.microsoft.com/office/drawing/2014/main" id="{30D831A6-E6B8-4B4C-B62E-954E2FD4D3B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348" y="3146052"/>
          <a:ext cx="1439545" cy="1439545"/>
        </a:xfrm>
        <a:prstGeom prst="rect">
          <a:avLst/>
        </a:prstGeom>
        <a:noFill/>
        <a:ln>
          <a:noFill/>
        </a:ln>
      </xdr:spPr>
    </xdr:pic>
    <xdr:clientData/>
  </xdr:twoCellAnchor>
  <xdr:twoCellAnchor editAs="oneCell">
    <xdr:from>
      <xdr:col>0</xdr:col>
      <xdr:colOff>90348</xdr:colOff>
      <xdr:row>6</xdr:row>
      <xdr:rowOff>232521</xdr:rowOff>
    </xdr:from>
    <xdr:to>
      <xdr:col>0</xdr:col>
      <xdr:colOff>1529893</xdr:colOff>
      <xdr:row>6</xdr:row>
      <xdr:rowOff>1672066</xdr:rowOff>
    </xdr:to>
    <xdr:pic>
      <xdr:nvPicPr>
        <xdr:cNvPr id="4" name="図 3">
          <a:extLst>
            <a:ext uri="{FF2B5EF4-FFF2-40B4-BE49-F238E27FC236}">
              <a16:creationId xmlns:a16="http://schemas.microsoft.com/office/drawing/2014/main" id="{F9431350-452A-4B98-932B-A7780135600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348" y="6922433"/>
          <a:ext cx="1439545" cy="1439545"/>
        </a:xfrm>
        <a:prstGeom prst="rect">
          <a:avLst/>
        </a:prstGeom>
        <a:noFill/>
        <a:ln>
          <a:noFill/>
        </a:ln>
      </xdr:spPr>
    </xdr:pic>
    <xdr:clientData/>
  </xdr:twoCellAnchor>
  <xdr:twoCellAnchor editAs="oneCell">
    <xdr:from>
      <xdr:col>0</xdr:col>
      <xdr:colOff>83344</xdr:colOff>
      <xdr:row>5</xdr:row>
      <xdr:rowOff>218514</xdr:rowOff>
    </xdr:from>
    <xdr:to>
      <xdr:col>0</xdr:col>
      <xdr:colOff>1536896</xdr:colOff>
      <xdr:row>5</xdr:row>
      <xdr:rowOff>1674868</xdr:rowOff>
    </xdr:to>
    <xdr:pic>
      <xdr:nvPicPr>
        <xdr:cNvPr id="5" name="図 4">
          <a:extLst>
            <a:ext uri="{FF2B5EF4-FFF2-40B4-BE49-F238E27FC236}">
              <a16:creationId xmlns:a16="http://schemas.microsoft.com/office/drawing/2014/main" id="{140D6E78-403A-4F8F-AA48-714BC157419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3344" y="5025838"/>
          <a:ext cx="1453552" cy="1456354"/>
        </a:xfrm>
        <a:prstGeom prst="rect">
          <a:avLst/>
        </a:prstGeom>
        <a:noFill/>
        <a:ln>
          <a:noFill/>
        </a:ln>
      </xdr:spPr>
    </xdr:pic>
    <xdr:clientData/>
  </xdr:twoCellAnchor>
  <xdr:twoCellAnchor editAs="oneCell">
    <xdr:from>
      <xdr:col>0</xdr:col>
      <xdr:colOff>81944</xdr:colOff>
      <xdr:row>7</xdr:row>
      <xdr:rowOff>229720</xdr:rowOff>
    </xdr:from>
    <xdr:to>
      <xdr:col>0</xdr:col>
      <xdr:colOff>1538297</xdr:colOff>
      <xdr:row>7</xdr:row>
      <xdr:rowOff>1687474</xdr:rowOff>
    </xdr:to>
    <xdr:pic>
      <xdr:nvPicPr>
        <xdr:cNvPr id="6" name="図 5">
          <a:extLst>
            <a:ext uri="{FF2B5EF4-FFF2-40B4-BE49-F238E27FC236}">
              <a16:creationId xmlns:a16="http://schemas.microsoft.com/office/drawing/2014/main" id="{2FE1471D-05A4-4152-819B-0E55FA4CCF7A}"/>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1944" y="8802220"/>
          <a:ext cx="1456353" cy="145775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2</xdr:row>
      <xdr:rowOff>9525</xdr:rowOff>
    </xdr:from>
    <xdr:to>
      <xdr:col>1</xdr:col>
      <xdr:colOff>0</xdr:colOff>
      <xdr:row>4</xdr:row>
      <xdr:rowOff>9525</xdr:rowOff>
    </xdr:to>
    <xdr:sp macro="" textlink="">
      <xdr:nvSpPr>
        <xdr:cNvPr id="2" name="Line 1">
          <a:extLst>
            <a:ext uri="{FF2B5EF4-FFF2-40B4-BE49-F238E27FC236}">
              <a16:creationId xmlns:a16="http://schemas.microsoft.com/office/drawing/2014/main" id="{04A6CA72-979B-430E-81BD-AD7AF3ADDE0F}"/>
            </a:ext>
          </a:extLst>
        </xdr:cNvPr>
        <xdr:cNvSpPr>
          <a:spLocks noChangeShapeType="1"/>
        </xdr:cNvSpPr>
      </xdr:nvSpPr>
      <xdr:spPr bwMode="auto">
        <a:xfrm>
          <a:off x="28575" y="590550"/>
          <a:ext cx="8191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13</xdr:row>
      <xdr:rowOff>9525</xdr:rowOff>
    </xdr:from>
    <xdr:to>
      <xdr:col>1</xdr:col>
      <xdr:colOff>0</xdr:colOff>
      <xdr:row>15</xdr:row>
      <xdr:rowOff>9525</xdr:rowOff>
    </xdr:to>
    <xdr:sp macro="" textlink="">
      <xdr:nvSpPr>
        <xdr:cNvPr id="3" name="Line 1">
          <a:extLst>
            <a:ext uri="{FF2B5EF4-FFF2-40B4-BE49-F238E27FC236}">
              <a16:creationId xmlns:a16="http://schemas.microsoft.com/office/drawing/2014/main" id="{41D62FF8-57B3-459F-BC8B-5134227054F0}"/>
            </a:ext>
          </a:extLst>
        </xdr:cNvPr>
        <xdr:cNvSpPr>
          <a:spLocks noChangeShapeType="1"/>
        </xdr:cNvSpPr>
      </xdr:nvSpPr>
      <xdr:spPr bwMode="auto">
        <a:xfrm>
          <a:off x="28575" y="3686175"/>
          <a:ext cx="8191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17</xdr:row>
      <xdr:rowOff>114301</xdr:rowOff>
    </xdr:from>
    <xdr:to>
      <xdr:col>8</xdr:col>
      <xdr:colOff>695326</xdr:colOff>
      <xdr:row>26</xdr:row>
      <xdr:rowOff>85725</xdr:rowOff>
    </xdr:to>
    <xdr:sp macro="" textlink="">
      <xdr:nvSpPr>
        <xdr:cNvPr id="2" name="正方形/長方形 1">
          <a:extLst>
            <a:ext uri="{FF2B5EF4-FFF2-40B4-BE49-F238E27FC236}">
              <a16:creationId xmlns:a16="http://schemas.microsoft.com/office/drawing/2014/main" id="{EA179473-6DC6-409F-8FE7-7D97D93B9619}"/>
            </a:ext>
          </a:extLst>
        </xdr:cNvPr>
        <xdr:cNvSpPr/>
      </xdr:nvSpPr>
      <xdr:spPr>
        <a:xfrm>
          <a:off x="47626" y="4267201"/>
          <a:ext cx="6362700" cy="211454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000">
              <a:solidFill>
                <a:schemeClr val="tx1"/>
              </a:solidFill>
              <a:latin typeface="メイリオ" panose="020B0604030504040204" pitchFamily="50" charset="-128"/>
              <a:ea typeface="メイリオ" panose="020B0604030504040204" pitchFamily="50" charset="-128"/>
            </a:rPr>
            <a:t>○人口集中地区の定義</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600"/>
            </a:lnSpc>
          </a:pPr>
          <a:r>
            <a:rPr kumimoji="1" lang="ja-JP" altLang="en-US" sz="1000">
              <a:solidFill>
                <a:schemeClr val="tx1"/>
              </a:solidFill>
              <a:latin typeface="メイリオ" panose="020B0604030504040204" pitchFamily="50" charset="-128"/>
              <a:ea typeface="メイリオ" panose="020B0604030504040204" pitchFamily="50" charset="-128"/>
            </a:rPr>
            <a:t>　人口集中地区の設定に当たっては、国勢調査基本単位区及び基本単位区内に複数の調査区がある場合は調査区（以下「基本単位区等」という。）を基礎単位として、</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700"/>
            </a:lnSpc>
          </a:pPr>
          <a:r>
            <a:rPr kumimoji="1" lang="ja-JP" altLang="en-US" sz="1000">
              <a:solidFill>
                <a:schemeClr val="tx1"/>
              </a:solidFill>
              <a:latin typeface="メイリオ" panose="020B0604030504040204" pitchFamily="50" charset="-128"/>
              <a:ea typeface="メイリオ" panose="020B0604030504040204" pitchFamily="50" charset="-128"/>
            </a:rPr>
            <a:t>　①原則として人口密度が</a:t>
          </a:r>
          <a:r>
            <a:rPr kumimoji="1" lang="en-US" altLang="ja-JP" sz="1000">
              <a:solidFill>
                <a:schemeClr val="tx1"/>
              </a:solidFill>
              <a:latin typeface="メイリオ" panose="020B0604030504040204" pitchFamily="50" charset="-128"/>
              <a:ea typeface="メイリオ" panose="020B0604030504040204" pitchFamily="50" charset="-128"/>
            </a:rPr>
            <a:t>1</a:t>
          </a:r>
          <a:r>
            <a:rPr kumimoji="1" lang="ja-JP" altLang="en-US" sz="1000">
              <a:solidFill>
                <a:schemeClr val="tx1"/>
              </a:solidFill>
              <a:latin typeface="メイリオ" panose="020B0604030504040204" pitchFamily="50" charset="-128"/>
              <a:ea typeface="メイリオ" panose="020B0604030504040204" pitchFamily="50" charset="-128"/>
            </a:rPr>
            <a:t>平方キロメートル当たり</a:t>
          </a:r>
          <a:r>
            <a:rPr kumimoji="1" lang="en-US" altLang="ja-JP" sz="1000">
              <a:solidFill>
                <a:schemeClr val="tx1"/>
              </a:solidFill>
              <a:latin typeface="メイリオ" panose="020B0604030504040204" pitchFamily="50" charset="-128"/>
              <a:ea typeface="メイリオ" panose="020B0604030504040204" pitchFamily="50" charset="-128"/>
            </a:rPr>
            <a:t>4,000</a:t>
          </a:r>
          <a:r>
            <a:rPr kumimoji="1" lang="ja-JP" altLang="en-US" sz="1000">
              <a:solidFill>
                <a:schemeClr val="tx1"/>
              </a:solidFill>
              <a:latin typeface="メイリオ" panose="020B0604030504040204" pitchFamily="50" charset="-128"/>
              <a:ea typeface="メイリオ" panose="020B0604030504040204" pitchFamily="50" charset="-128"/>
            </a:rPr>
            <a:t>人以上の基本単位区等が</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700"/>
            </a:lnSpc>
          </a:pPr>
          <a:r>
            <a:rPr kumimoji="1" lang="ja-JP" altLang="en-US" sz="1000">
              <a:solidFill>
                <a:schemeClr val="tx1"/>
              </a:solidFill>
              <a:latin typeface="メイリオ" panose="020B0604030504040204" pitchFamily="50" charset="-128"/>
              <a:ea typeface="メイリオ" panose="020B0604030504040204" pitchFamily="50" charset="-128"/>
            </a:rPr>
            <a:t>　　市区町村の境域内で互いに隣接して、</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600"/>
            </a:lnSpc>
          </a:pPr>
          <a:r>
            <a:rPr kumimoji="1" lang="ja-JP" altLang="en-US" sz="1000">
              <a:solidFill>
                <a:schemeClr val="tx1"/>
              </a:solidFill>
              <a:latin typeface="メイリオ" panose="020B0604030504040204" pitchFamily="50" charset="-128"/>
              <a:ea typeface="メイリオ" panose="020B0604030504040204" pitchFamily="50" charset="-128"/>
            </a:rPr>
            <a:t>　②それらの隣接した地域の人口が国勢調査時に</a:t>
          </a:r>
          <a:r>
            <a:rPr kumimoji="1" lang="en-US" altLang="ja-JP" sz="1000">
              <a:solidFill>
                <a:schemeClr val="tx1"/>
              </a:solidFill>
              <a:latin typeface="メイリオ" panose="020B0604030504040204" pitchFamily="50" charset="-128"/>
              <a:ea typeface="メイリオ" panose="020B0604030504040204" pitchFamily="50" charset="-128"/>
            </a:rPr>
            <a:t>5,000</a:t>
          </a:r>
          <a:r>
            <a:rPr kumimoji="1" lang="ja-JP" altLang="en-US" sz="1000">
              <a:solidFill>
                <a:schemeClr val="tx1"/>
              </a:solidFill>
              <a:latin typeface="メイリオ" panose="020B0604030504040204" pitchFamily="50" charset="-128"/>
              <a:ea typeface="メイリオ" panose="020B0604030504040204" pitchFamily="50" charset="-128"/>
            </a:rPr>
            <a:t>人以上を有するこの地域を「人口集中地区」とした。</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700"/>
            </a:lnSpc>
          </a:pPr>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600"/>
            </a:lnSpc>
          </a:pPr>
          <a:r>
            <a:rPr kumimoji="1" lang="ja-JP" altLang="en-US" sz="1000">
              <a:solidFill>
                <a:schemeClr val="tx1"/>
              </a:solidFill>
              <a:latin typeface="メイリオ" panose="020B0604030504040204" pitchFamily="50" charset="-128"/>
              <a:ea typeface="メイリオ" panose="020B0604030504040204" pitchFamily="50" charset="-128"/>
            </a:rPr>
            <a:t>　令和２年国勢調査より、大町市の人口集中地区のデータなし。</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700"/>
            </a:lnSpc>
          </a:pPr>
          <a:r>
            <a:rPr kumimoji="1" lang="ja-JP" altLang="en-US" sz="1000">
              <a:solidFill>
                <a:schemeClr val="tx1"/>
              </a:solidFill>
              <a:latin typeface="メイリオ" panose="020B0604030504040204" pitchFamily="50" charset="-128"/>
              <a:ea typeface="メイリオ" panose="020B0604030504040204" pitchFamily="50" charset="-128"/>
            </a:rPr>
            <a:t>　また、令和２年国勢調査「人口集中地区境域図」は、令和</a:t>
          </a:r>
          <a:r>
            <a:rPr kumimoji="1" lang="en-US" altLang="ja-JP" sz="1000">
              <a:solidFill>
                <a:schemeClr val="tx1"/>
              </a:solidFill>
              <a:latin typeface="メイリオ" panose="020B0604030504040204" pitchFamily="50" charset="-128"/>
              <a:ea typeface="メイリオ" panose="020B0604030504040204" pitchFamily="50" charset="-128"/>
            </a:rPr>
            <a:t>4</a:t>
          </a:r>
          <a:r>
            <a:rPr kumimoji="1" lang="ja-JP" altLang="en-US" sz="1000">
              <a:solidFill>
                <a:schemeClr val="tx1"/>
              </a:solidFill>
              <a:latin typeface="メイリオ" panose="020B0604030504040204" pitchFamily="50" charset="-128"/>
              <a:ea typeface="メイリオ" panose="020B0604030504040204" pitchFamily="50" charset="-128"/>
            </a:rPr>
            <a:t>年</a:t>
          </a:r>
          <a:r>
            <a:rPr kumimoji="1" lang="en-US" altLang="ja-JP" sz="1000">
              <a:solidFill>
                <a:schemeClr val="tx1"/>
              </a:solidFill>
              <a:latin typeface="メイリオ" panose="020B0604030504040204" pitchFamily="50" charset="-128"/>
              <a:ea typeface="メイリオ" panose="020B0604030504040204" pitchFamily="50" charset="-128"/>
            </a:rPr>
            <a:t>3</a:t>
          </a:r>
          <a:r>
            <a:rPr kumimoji="1" lang="ja-JP" altLang="en-US" sz="1000">
              <a:solidFill>
                <a:schemeClr val="tx1"/>
              </a:solidFill>
              <a:latin typeface="メイリオ" panose="020B0604030504040204" pitchFamily="50" charset="-128"/>
              <a:ea typeface="メイリオ" panose="020B0604030504040204" pitchFamily="50" charset="-128"/>
            </a:rPr>
            <a:t>月公表予定。</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600"/>
            </a:lnSpc>
          </a:pPr>
          <a:endParaRPr kumimoji="1" lang="ja-JP" altLang="en-US" sz="100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333375</xdr:rowOff>
    </xdr:from>
    <xdr:to>
      <xdr:col>1</xdr:col>
      <xdr:colOff>0</xdr:colOff>
      <xdr:row>4</xdr:row>
      <xdr:rowOff>171450</xdr:rowOff>
    </xdr:to>
    <xdr:sp macro="" textlink="">
      <xdr:nvSpPr>
        <xdr:cNvPr id="2" name="Line 1">
          <a:extLst>
            <a:ext uri="{FF2B5EF4-FFF2-40B4-BE49-F238E27FC236}">
              <a16:creationId xmlns:a16="http://schemas.microsoft.com/office/drawing/2014/main" id="{400D8C79-DC96-4B06-9FB7-73266EB7FDE0}"/>
            </a:ext>
          </a:extLst>
        </xdr:cNvPr>
        <xdr:cNvSpPr>
          <a:spLocks noChangeShapeType="1"/>
        </xdr:cNvSpPr>
      </xdr:nvSpPr>
      <xdr:spPr bwMode="auto">
        <a:xfrm>
          <a:off x="0" y="333375"/>
          <a:ext cx="1876425" cy="838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30</xdr:row>
      <xdr:rowOff>333375</xdr:rowOff>
    </xdr:from>
    <xdr:to>
      <xdr:col>1</xdr:col>
      <xdr:colOff>0</xdr:colOff>
      <xdr:row>34</xdr:row>
      <xdr:rowOff>171450</xdr:rowOff>
    </xdr:to>
    <xdr:sp macro="" textlink="">
      <xdr:nvSpPr>
        <xdr:cNvPr id="3" name="Line 1">
          <a:extLst>
            <a:ext uri="{FF2B5EF4-FFF2-40B4-BE49-F238E27FC236}">
              <a16:creationId xmlns:a16="http://schemas.microsoft.com/office/drawing/2014/main" id="{DF7DD27A-5DC2-4B93-BD18-B1C8BD543067}"/>
            </a:ext>
          </a:extLst>
        </xdr:cNvPr>
        <xdr:cNvSpPr>
          <a:spLocks noChangeShapeType="1"/>
        </xdr:cNvSpPr>
      </xdr:nvSpPr>
      <xdr:spPr bwMode="auto">
        <a:xfrm>
          <a:off x="0" y="6915150"/>
          <a:ext cx="1876425" cy="828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647700</xdr:colOff>
      <xdr:row>19</xdr:row>
      <xdr:rowOff>64599</xdr:rowOff>
    </xdr:to>
    <xdr:pic>
      <xdr:nvPicPr>
        <xdr:cNvPr id="4" name="図 3">
          <a:extLst>
            <a:ext uri="{FF2B5EF4-FFF2-40B4-BE49-F238E27FC236}">
              <a16:creationId xmlns:a16="http://schemas.microsoft.com/office/drawing/2014/main" id="{FA2D0F06-2ED4-42C6-84CB-B315B6DB6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5981700" cy="4407998"/>
        </a:xfrm>
        <a:prstGeom prst="rect">
          <a:avLst/>
        </a:prstGeom>
      </xdr:spPr>
    </xdr:pic>
    <xdr:clientData/>
  </xdr:twoCellAnchor>
  <xdr:twoCellAnchor editAs="oneCell">
    <xdr:from>
      <xdr:col>0</xdr:col>
      <xdr:colOff>85725</xdr:colOff>
      <xdr:row>19</xdr:row>
      <xdr:rowOff>34290</xdr:rowOff>
    </xdr:from>
    <xdr:to>
      <xdr:col>8</xdr:col>
      <xdr:colOff>649605</xdr:colOff>
      <xdr:row>38</xdr:row>
      <xdr:rowOff>151226</xdr:rowOff>
    </xdr:to>
    <xdr:pic>
      <xdr:nvPicPr>
        <xdr:cNvPr id="7" name="図 6">
          <a:extLst>
            <a:ext uri="{FF2B5EF4-FFF2-40B4-BE49-F238E27FC236}">
              <a16:creationId xmlns:a16="http://schemas.microsoft.com/office/drawing/2014/main" id="{00F15F84-67BE-4F34-9F48-8474538C81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5" y="4377690"/>
          <a:ext cx="5897880" cy="44603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12</xdr:row>
      <xdr:rowOff>57150</xdr:rowOff>
    </xdr:from>
    <xdr:to>
      <xdr:col>1</xdr:col>
      <xdr:colOff>133350</xdr:colOff>
      <xdr:row>16</xdr:row>
      <xdr:rowOff>200025</xdr:rowOff>
    </xdr:to>
    <xdr:sp macro="" textlink="">
      <xdr:nvSpPr>
        <xdr:cNvPr id="2" name="AutoShape 1">
          <a:extLst>
            <a:ext uri="{FF2B5EF4-FFF2-40B4-BE49-F238E27FC236}">
              <a16:creationId xmlns:a16="http://schemas.microsoft.com/office/drawing/2014/main" id="{6F23C948-2665-4313-85D4-9F0C67EEADD7}"/>
            </a:ext>
          </a:extLst>
        </xdr:cNvPr>
        <xdr:cNvSpPr>
          <a:spLocks/>
        </xdr:cNvSpPr>
      </xdr:nvSpPr>
      <xdr:spPr bwMode="auto">
        <a:xfrm>
          <a:off x="1181100" y="3329940"/>
          <a:ext cx="91440" cy="1139190"/>
        </a:xfrm>
        <a:prstGeom prst="rightBracket">
          <a:avLst>
            <a:gd name="adj" fmla="val 6528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18</xdr:row>
      <xdr:rowOff>19050</xdr:rowOff>
    </xdr:from>
    <xdr:to>
      <xdr:col>1</xdr:col>
      <xdr:colOff>114300</xdr:colOff>
      <xdr:row>19</xdr:row>
      <xdr:rowOff>219075</xdr:rowOff>
    </xdr:to>
    <xdr:sp macro="" textlink="">
      <xdr:nvSpPr>
        <xdr:cNvPr id="3" name="AutoShape 1">
          <a:extLst>
            <a:ext uri="{FF2B5EF4-FFF2-40B4-BE49-F238E27FC236}">
              <a16:creationId xmlns:a16="http://schemas.microsoft.com/office/drawing/2014/main" id="{6AFC5208-D427-4DE9-B4F4-54671FDB9CC7}"/>
            </a:ext>
          </a:extLst>
        </xdr:cNvPr>
        <xdr:cNvSpPr>
          <a:spLocks/>
        </xdr:cNvSpPr>
      </xdr:nvSpPr>
      <xdr:spPr bwMode="auto">
        <a:xfrm>
          <a:off x="1158240" y="4777740"/>
          <a:ext cx="99060" cy="449580"/>
        </a:xfrm>
        <a:prstGeom prst="rightBracket">
          <a:avLst>
            <a:gd name="adj" fmla="val 671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23</xdr:row>
      <xdr:rowOff>47625</xdr:rowOff>
    </xdr:from>
    <xdr:to>
      <xdr:col>1</xdr:col>
      <xdr:colOff>104775</xdr:colOff>
      <xdr:row>25</xdr:row>
      <xdr:rowOff>161925</xdr:rowOff>
    </xdr:to>
    <xdr:sp macro="" textlink="">
      <xdr:nvSpPr>
        <xdr:cNvPr id="4" name="AutoShape 1">
          <a:extLst>
            <a:ext uri="{FF2B5EF4-FFF2-40B4-BE49-F238E27FC236}">
              <a16:creationId xmlns:a16="http://schemas.microsoft.com/office/drawing/2014/main" id="{79D9B548-DDBD-445F-886F-5D15D0FAF819}"/>
            </a:ext>
          </a:extLst>
        </xdr:cNvPr>
        <xdr:cNvSpPr>
          <a:spLocks/>
        </xdr:cNvSpPr>
      </xdr:nvSpPr>
      <xdr:spPr bwMode="auto">
        <a:xfrm>
          <a:off x="1158240" y="6050280"/>
          <a:ext cx="87630" cy="609600"/>
        </a:xfrm>
        <a:prstGeom prst="rightBracket">
          <a:avLst>
            <a:gd name="adj" fmla="val 671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26</xdr:row>
      <xdr:rowOff>28575</xdr:rowOff>
    </xdr:from>
    <xdr:to>
      <xdr:col>1</xdr:col>
      <xdr:colOff>104775</xdr:colOff>
      <xdr:row>27</xdr:row>
      <xdr:rowOff>228600</xdr:rowOff>
    </xdr:to>
    <xdr:sp macro="" textlink="">
      <xdr:nvSpPr>
        <xdr:cNvPr id="5" name="AutoShape 1">
          <a:extLst>
            <a:ext uri="{FF2B5EF4-FFF2-40B4-BE49-F238E27FC236}">
              <a16:creationId xmlns:a16="http://schemas.microsoft.com/office/drawing/2014/main" id="{4C58ADC7-8F21-4072-95C6-499F30D1F5C0}"/>
            </a:ext>
          </a:extLst>
        </xdr:cNvPr>
        <xdr:cNvSpPr>
          <a:spLocks/>
        </xdr:cNvSpPr>
      </xdr:nvSpPr>
      <xdr:spPr bwMode="auto">
        <a:xfrm>
          <a:off x="1181100" y="6770370"/>
          <a:ext cx="64770" cy="449580"/>
        </a:xfrm>
        <a:prstGeom prst="rightBracket">
          <a:avLst>
            <a:gd name="adj" fmla="val 671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_&#32207;&#21209;&#37096;/20_&#20225;&#30011;&#36001;&#25919;&#35506;/10_&#20225;&#30011;&#35519;&#25972;&#20418;/00_&#12501;&#12457;&#12523;&#12480;&#20877;&#32232;/40_&#32113;&#35336;/03%20&#32113;&#35336;&#35201;&#35239;/R2/&#9678;23&#29987;&#26989;&#20998;&#39006;&#21029;&#23601;&#26989;&#32773;&#25968;(&#22269;&#21218;&#35519;&#26619;&#12288;R4.05&#20844;&#34920;&#20104;&#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32"/>
      <sheetName val="22 (2)"/>
      <sheetName val="23 (2)"/>
      <sheetName val="23"/>
      <sheetName val="22"/>
      <sheetName val="21"/>
      <sheetName val="20"/>
      <sheetName val="19"/>
      <sheetName val="元"/>
      <sheetName val="b003"/>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data.jma.go.jp/obd/stats/etrn/index.php" TargetMode="External"/></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H27"/>
  <sheetViews>
    <sheetView tabSelected="1" workbookViewId="0">
      <selection activeCell="A10" sqref="A10:H10"/>
    </sheetView>
  </sheetViews>
  <sheetFormatPr defaultRowHeight="18"/>
  <sheetData>
    <row r="10" spans="1:8" ht="55.2">
      <c r="A10" s="2160" t="s">
        <v>2409</v>
      </c>
      <c r="B10" s="2160"/>
      <c r="C10" s="2160"/>
      <c r="D10" s="2160"/>
      <c r="E10" s="2160"/>
      <c r="F10" s="2160"/>
      <c r="G10" s="2160"/>
      <c r="H10" s="2160"/>
    </row>
    <row r="11" spans="1:8" ht="55.2">
      <c r="A11" s="2159" t="s">
        <v>2410</v>
      </c>
      <c r="B11" s="2159"/>
      <c r="C11" s="2159"/>
      <c r="D11" s="2159"/>
      <c r="E11" s="2159"/>
      <c r="F11" s="2159"/>
      <c r="G11" s="2159"/>
      <c r="H11" s="2159"/>
    </row>
    <row r="27" spans="1:8" ht="33.6">
      <c r="A27" s="2158" t="s">
        <v>2411</v>
      </c>
      <c r="B27" s="2158"/>
      <c r="C27" s="2158"/>
      <c r="D27" s="2158"/>
      <c r="E27" s="2158"/>
      <c r="F27" s="2158"/>
      <c r="G27" s="2158"/>
      <c r="H27" s="2158"/>
    </row>
  </sheetData>
  <mergeCells count="3">
    <mergeCell ref="A27:H27"/>
    <mergeCell ref="A11:H11"/>
    <mergeCell ref="A10:H10"/>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153F-95DE-48B9-A104-7B623AB10820}">
  <sheetPr codeName="Sheet5">
    <pageSetUpPr fitToPage="1"/>
  </sheetPr>
  <dimension ref="A1:I36"/>
  <sheetViews>
    <sheetView workbookViewId="0"/>
  </sheetViews>
  <sheetFormatPr defaultColWidth="9" defaultRowHeight="13.2"/>
  <cols>
    <col min="1" max="1" width="11" style="82" customWidth="1"/>
    <col min="2" max="16384" width="9" style="82"/>
  </cols>
  <sheetData>
    <row r="1" spans="1:9" ht="30" customHeight="1" thickBot="1">
      <c r="A1" s="2137" t="s">
        <v>104</v>
      </c>
      <c r="B1" s="2137"/>
      <c r="C1" s="2137"/>
    </row>
    <row r="2" spans="1:9" s="11" customFormat="1" ht="18" customHeight="1">
      <c r="A2" s="2187" t="s">
        <v>105</v>
      </c>
      <c r="B2" s="2183" t="s">
        <v>106</v>
      </c>
      <c r="C2" s="2185"/>
      <c r="D2" s="2184" t="s">
        <v>107</v>
      </c>
      <c r="E2" s="2184"/>
      <c r="F2" s="2186" t="s">
        <v>108</v>
      </c>
      <c r="G2" s="2187"/>
      <c r="H2" s="2187"/>
      <c r="I2" s="2187"/>
    </row>
    <row r="3" spans="1:9" s="11" customFormat="1" ht="13.5" customHeight="1">
      <c r="A3" s="2195"/>
      <c r="B3" s="2197" t="s">
        <v>109</v>
      </c>
      <c r="C3" s="2197" t="s">
        <v>110</v>
      </c>
      <c r="D3" s="2192" t="s">
        <v>111</v>
      </c>
      <c r="E3" s="2192" t="s">
        <v>112</v>
      </c>
      <c r="F3" s="2189"/>
      <c r="G3" s="2196"/>
      <c r="H3" s="2196"/>
      <c r="I3" s="2196"/>
    </row>
    <row r="4" spans="1:9" s="11" customFormat="1" ht="13.5" customHeight="1">
      <c r="A4" s="2195"/>
      <c r="B4" s="2198"/>
      <c r="C4" s="2198"/>
      <c r="D4" s="2198"/>
      <c r="E4" s="2198"/>
      <c r="F4" s="2192" t="s">
        <v>113</v>
      </c>
      <c r="G4" s="2192" t="s">
        <v>114</v>
      </c>
      <c r="H4" s="2192" t="s">
        <v>115</v>
      </c>
      <c r="I4" s="2190" t="s">
        <v>116</v>
      </c>
    </row>
    <row r="5" spans="1:9" s="11" customFormat="1" ht="13.5" customHeight="1">
      <c r="A5" s="2196"/>
      <c r="B5" s="2193"/>
      <c r="C5" s="2193"/>
      <c r="D5" s="2193"/>
      <c r="E5" s="2193"/>
      <c r="F5" s="2193"/>
      <c r="G5" s="2193"/>
      <c r="H5" s="2193"/>
      <c r="I5" s="2189"/>
    </row>
    <row r="6" spans="1:9" s="11" customFormat="1" ht="18.899999999999999" customHeight="1">
      <c r="A6" s="85"/>
      <c r="B6" s="86" t="s">
        <v>117</v>
      </c>
      <c r="C6" s="35" t="s">
        <v>117</v>
      </c>
      <c r="D6" s="87" t="s">
        <v>118</v>
      </c>
      <c r="E6" s="87" t="s">
        <v>119</v>
      </c>
      <c r="F6" s="86" t="s">
        <v>117</v>
      </c>
      <c r="G6" s="39" t="s">
        <v>117</v>
      </c>
      <c r="H6" s="86" t="s">
        <v>117</v>
      </c>
      <c r="I6" s="36" t="s">
        <v>117</v>
      </c>
    </row>
    <row r="7" spans="1:9" s="11" customFormat="1" ht="18.899999999999999" customHeight="1">
      <c r="A7" s="79" t="s">
        <v>120</v>
      </c>
      <c r="B7" s="88">
        <v>235</v>
      </c>
      <c r="C7" s="88">
        <v>29</v>
      </c>
      <c r="D7" s="88">
        <v>12.25</v>
      </c>
      <c r="E7" s="88">
        <v>3.31</v>
      </c>
      <c r="F7" s="89">
        <v>20</v>
      </c>
      <c r="G7" s="90">
        <v>80</v>
      </c>
      <c r="H7" s="89">
        <v>64</v>
      </c>
      <c r="I7" s="90">
        <v>53</v>
      </c>
    </row>
    <row r="8" spans="1:9" s="11" customFormat="1" ht="18.899999999999999" customHeight="1">
      <c r="A8" s="79" t="s">
        <v>121</v>
      </c>
      <c r="B8" s="88">
        <v>252</v>
      </c>
      <c r="C8" s="88">
        <v>36</v>
      </c>
      <c r="D8" s="88">
        <v>12.8</v>
      </c>
      <c r="E8" s="88">
        <v>4.5999999999999996</v>
      </c>
      <c r="F8" s="89">
        <v>54</v>
      </c>
      <c r="G8" s="90">
        <v>69</v>
      </c>
      <c r="H8" s="89">
        <v>50</v>
      </c>
      <c r="I8" s="90">
        <v>61</v>
      </c>
    </row>
    <row r="9" spans="1:9" s="11" customFormat="1" ht="18.899999999999999" customHeight="1">
      <c r="A9" s="79" t="s">
        <v>122</v>
      </c>
      <c r="B9" s="88">
        <v>249</v>
      </c>
      <c r="C9" s="88">
        <v>34</v>
      </c>
      <c r="D9" s="88">
        <v>10.29</v>
      </c>
      <c r="E9" s="88">
        <v>4.5999999999999996</v>
      </c>
      <c r="F9" s="89">
        <v>35</v>
      </c>
      <c r="G9" s="90">
        <v>63</v>
      </c>
      <c r="H9" s="89">
        <v>50</v>
      </c>
      <c r="I9" s="90">
        <v>61</v>
      </c>
    </row>
    <row r="10" spans="1:9" s="11" customFormat="1" ht="18.899999999999999" customHeight="1">
      <c r="A10" s="79" t="s">
        <v>123</v>
      </c>
      <c r="B10" s="88">
        <v>693</v>
      </c>
      <c r="C10" s="88">
        <v>33</v>
      </c>
      <c r="D10" s="88">
        <v>12.9</v>
      </c>
      <c r="E10" s="88">
        <v>4.5</v>
      </c>
      <c r="F10" s="89">
        <v>54</v>
      </c>
      <c r="G10" s="90">
        <v>60</v>
      </c>
      <c r="H10" s="89">
        <v>67</v>
      </c>
      <c r="I10" s="90">
        <v>32</v>
      </c>
    </row>
    <row r="11" spans="1:9" s="11" customFormat="1" ht="18.899999999999999" customHeight="1">
      <c r="A11" s="79" t="s">
        <v>124</v>
      </c>
      <c r="B11" s="88">
        <v>619</v>
      </c>
      <c r="C11" s="88">
        <v>26</v>
      </c>
      <c r="D11" s="88">
        <v>12.6</v>
      </c>
      <c r="E11" s="88">
        <v>4.4000000000000004</v>
      </c>
      <c r="F11" s="89">
        <v>28</v>
      </c>
      <c r="G11" s="90">
        <v>56</v>
      </c>
      <c r="H11" s="89">
        <v>75</v>
      </c>
      <c r="I11" s="90">
        <v>47</v>
      </c>
    </row>
    <row r="12" spans="1:9" s="11" customFormat="1" ht="18.899999999999999" customHeight="1">
      <c r="A12" s="79" t="s">
        <v>125</v>
      </c>
      <c r="B12" s="88">
        <v>683</v>
      </c>
      <c r="C12" s="88">
        <v>45</v>
      </c>
      <c r="D12" s="88">
        <v>12.3</v>
      </c>
      <c r="E12" s="88">
        <v>4.21</v>
      </c>
      <c r="F12" s="89">
        <v>87</v>
      </c>
      <c r="G12" s="90">
        <v>83</v>
      </c>
      <c r="H12" s="89">
        <v>57</v>
      </c>
      <c r="I12" s="90">
        <v>34</v>
      </c>
    </row>
    <row r="13" spans="1:9" s="11" customFormat="1" ht="18.899999999999999" customHeight="1">
      <c r="A13" s="79" t="s">
        <v>126</v>
      </c>
      <c r="B13" s="88">
        <v>301</v>
      </c>
      <c r="C13" s="88">
        <v>24</v>
      </c>
      <c r="D13" s="88">
        <v>12.18</v>
      </c>
      <c r="E13" s="88">
        <v>3.13</v>
      </c>
      <c r="F13" s="89">
        <v>15</v>
      </c>
      <c r="G13" s="90">
        <v>40</v>
      </c>
      <c r="H13" s="89">
        <v>17</v>
      </c>
      <c r="I13" s="90">
        <v>10</v>
      </c>
    </row>
    <row r="14" spans="1:9" s="11" customFormat="1" ht="18.899999999999999" customHeight="1">
      <c r="A14" s="79" t="s">
        <v>127</v>
      </c>
      <c r="B14" s="88">
        <v>550</v>
      </c>
      <c r="C14" s="88">
        <v>30</v>
      </c>
      <c r="D14" s="88">
        <v>11.21</v>
      </c>
      <c r="E14" s="88">
        <v>4.25</v>
      </c>
      <c r="F14" s="89">
        <v>23</v>
      </c>
      <c r="G14" s="90">
        <v>43</v>
      </c>
      <c r="H14" s="89">
        <v>58</v>
      </c>
      <c r="I14" s="90">
        <v>58</v>
      </c>
    </row>
    <row r="15" spans="1:9" s="11" customFormat="1" ht="18.899999999999999" customHeight="1">
      <c r="A15" s="79" t="s">
        <v>128</v>
      </c>
      <c r="B15" s="88">
        <v>377</v>
      </c>
      <c r="C15" s="88">
        <v>27</v>
      </c>
      <c r="D15" s="88">
        <v>11.19</v>
      </c>
      <c r="E15" s="88">
        <v>3.28</v>
      </c>
      <c r="F15" s="89">
        <v>23</v>
      </c>
      <c r="G15" s="90">
        <v>31</v>
      </c>
      <c r="H15" s="89">
        <v>27</v>
      </c>
      <c r="I15" s="90">
        <v>12</v>
      </c>
    </row>
    <row r="16" spans="1:9" s="11" customFormat="1" ht="18.899999999999999" customHeight="1">
      <c r="A16" s="79" t="s">
        <v>129</v>
      </c>
      <c r="B16" s="88">
        <v>560</v>
      </c>
      <c r="C16" s="88">
        <v>34</v>
      </c>
      <c r="D16" s="88">
        <v>12.17</v>
      </c>
      <c r="E16" s="88">
        <v>4.17</v>
      </c>
      <c r="F16" s="89">
        <v>38</v>
      </c>
      <c r="G16" s="90">
        <v>55</v>
      </c>
      <c r="H16" s="89">
        <v>60</v>
      </c>
      <c r="I16" s="90">
        <v>36</v>
      </c>
    </row>
    <row r="17" spans="1:9" s="11" customFormat="1" ht="18.899999999999999" customHeight="1">
      <c r="A17" s="79" t="s">
        <v>130</v>
      </c>
      <c r="B17" s="88">
        <v>403</v>
      </c>
      <c r="C17" s="88">
        <v>22</v>
      </c>
      <c r="D17" s="88">
        <v>12.9</v>
      </c>
      <c r="E17" s="88">
        <v>3.27</v>
      </c>
      <c r="F17" s="89">
        <v>18</v>
      </c>
      <c r="G17" s="90">
        <v>51</v>
      </c>
      <c r="H17" s="89">
        <v>44</v>
      </c>
      <c r="I17" s="90">
        <v>10</v>
      </c>
    </row>
    <row r="18" spans="1:9" s="11" customFormat="1" ht="18.899999999999999" customHeight="1">
      <c r="A18" s="79" t="s">
        <v>131</v>
      </c>
      <c r="B18" s="88">
        <v>500</v>
      </c>
      <c r="C18" s="88">
        <v>22</v>
      </c>
      <c r="D18" s="88">
        <v>12.24</v>
      </c>
      <c r="E18" s="88">
        <v>4.16</v>
      </c>
      <c r="F18" s="89">
        <v>18</v>
      </c>
      <c r="G18" s="90">
        <v>39</v>
      </c>
      <c r="H18" s="89">
        <v>48</v>
      </c>
      <c r="I18" s="90">
        <v>22</v>
      </c>
    </row>
    <row r="19" spans="1:9" s="11" customFormat="1" ht="18.899999999999999" customHeight="1">
      <c r="A19" s="79" t="s">
        <v>132</v>
      </c>
      <c r="B19" s="88">
        <v>470</v>
      </c>
      <c r="C19" s="88">
        <v>39</v>
      </c>
      <c r="D19" s="88">
        <v>12.1</v>
      </c>
      <c r="E19" s="88">
        <v>3.8</v>
      </c>
      <c r="F19" s="89">
        <v>33</v>
      </c>
      <c r="G19" s="90">
        <v>44</v>
      </c>
      <c r="H19" s="89">
        <v>56</v>
      </c>
      <c r="I19" s="90">
        <v>34</v>
      </c>
    </row>
    <row r="20" spans="1:9" s="11" customFormat="1" ht="18.899999999999999" customHeight="1">
      <c r="A20" s="79" t="s">
        <v>133</v>
      </c>
      <c r="B20" s="88">
        <v>380</v>
      </c>
      <c r="C20" s="88">
        <v>40</v>
      </c>
      <c r="D20" s="88">
        <v>12.1</v>
      </c>
      <c r="E20" s="88">
        <v>3.15</v>
      </c>
      <c r="F20" s="89">
        <v>25</v>
      </c>
      <c r="G20" s="90">
        <v>22</v>
      </c>
      <c r="H20" s="89">
        <v>70</v>
      </c>
      <c r="I20" s="90">
        <v>20</v>
      </c>
    </row>
    <row r="21" spans="1:9" s="11" customFormat="1" ht="18.899999999999999" customHeight="1">
      <c r="A21" s="79" t="s">
        <v>134</v>
      </c>
      <c r="B21" s="88">
        <v>520</v>
      </c>
      <c r="C21" s="88">
        <v>37</v>
      </c>
      <c r="D21" s="88">
        <v>12.5</v>
      </c>
      <c r="E21" s="88">
        <v>3.13</v>
      </c>
      <c r="F21" s="89">
        <v>70</v>
      </c>
      <c r="G21" s="90">
        <v>78</v>
      </c>
      <c r="H21" s="89">
        <v>93</v>
      </c>
      <c r="I21" s="90">
        <v>44</v>
      </c>
    </row>
    <row r="22" spans="1:9" s="11" customFormat="1" ht="18.899999999999999" customHeight="1">
      <c r="A22" s="79" t="s">
        <v>135</v>
      </c>
      <c r="B22" s="88">
        <v>206</v>
      </c>
      <c r="C22" s="88">
        <v>34</v>
      </c>
      <c r="D22" s="88">
        <v>11.27</v>
      </c>
      <c r="E22" s="88">
        <v>3.16</v>
      </c>
      <c r="F22" s="89">
        <v>7</v>
      </c>
      <c r="G22" s="90">
        <v>46</v>
      </c>
      <c r="H22" s="89">
        <v>62</v>
      </c>
      <c r="I22" s="90">
        <v>11</v>
      </c>
    </row>
    <row r="23" spans="1:9" s="11" customFormat="1" ht="18.899999999999999" customHeight="1">
      <c r="A23" s="79" t="s">
        <v>136</v>
      </c>
      <c r="B23" s="88">
        <v>206</v>
      </c>
      <c r="C23" s="88">
        <v>24</v>
      </c>
      <c r="D23" s="88" t="s">
        <v>137</v>
      </c>
      <c r="E23" s="91">
        <v>3.22</v>
      </c>
      <c r="F23" s="89">
        <v>45</v>
      </c>
      <c r="G23" s="90">
        <v>68</v>
      </c>
      <c r="H23" s="89">
        <v>45</v>
      </c>
      <c r="I23" s="90">
        <v>18</v>
      </c>
    </row>
    <row r="24" spans="1:9" s="11" customFormat="1" ht="18.899999999999999" customHeight="1">
      <c r="A24" s="79" t="s">
        <v>138</v>
      </c>
      <c r="B24" s="88">
        <v>303</v>
      </c>
      <c r="C24" s="88">
        <v>36</v>
      </c>
      <c r="D24" s="88">
        <v>12.19</v>
      </c>
      <c r="E24" s="91" t="s">
        <v>139</v>
      </c>
      <c r="F24" s="89">
        <v>9</v>
      </c>
      <c r="G24" s="90">
        <v>36</v>
      </c>
      <c r="H24" s="89">
        <v>23</v>
      </c>
      <c r="I24" s="90">
        <v>20</v>
      </c>
    </row>
    <row r="25" spans="1:9" s="11" customFormat="1" ht="18.899999999999999" customHeight="1">
      <c r="A25" s="79" t="s">
        <v>140</v>
      </c>
      <c r="B25" s="88">
        <v>116</v>
      </c>
      <c r="C25" s="88">
        <v>22</v>
      </c>
      <c r="D25" s="88">
        <v>12.22</v>
      </c>
      <c r="E25" s="91" t="s">
        <v>141</v>
      </c>
      <c r="F25" s="89">
        <v>3</v>
      </c>
      <c r="G25" s="90">
        <v>16</v>
      </c>
      <c r="H25" s="89">
        <v>12</v>
      </c>
      <c r="I25" s="90">
        <v>22</v>
      </c>
    </row>
    <row r="26" spans="1:9" s="11" customFormat="1" ht="18.899999999999999" customHeight="1">
      <c r="A26" s="79" t="s">
        <v>142</v>
      </c>
      <c r="B26" s="88">
        <v>251</v>
      </c>
      <c r="C26" s="88">
        <v>28</v>
      </c>
      <c r="D26" s="91" t="s">
        <v>143</v>
      </c>
      <c r="E26" s="91" t="s">
        <v>144</v>
      </c>
      <c r="F26" s="89">
        <v>20</v>
      </c>
      <c r="G26" s="90">
        <v>28</v>
      </c>
      <c r="H26" s="89">
        <v>8</v>
      </c>
      <c r="I26" s="79">
        <v>0</v>
      </c>
    </row>
    <row r="27" spans="1:9" s="11" customFormat="1" ht="18.899999999999999" customHeight="1">
      <c r="A27" s="79" t="s">
        <v>145</v>
      </c>
      <c r="B27" s="88">
        <v>480</v>
      </c>
      <c r="C27" s="88">
        <v>57</v>
      </c>
      <c r="D27" s="88" t="s">
        <v>146</v>
      </c>
      <c r="E27" s="88" t="s">
        <v>147</v>
      </c>
      <c r="F27" s="89">
        <v>28</v>
      </c>
      <c r="G27" s="90">
        <v>57</v>
      </c>
      <c r="H27" s="89">
        <v>57</v>
      </c>
      <c r="I27" s="90">
        <v>52</v>
      </c>
    </row>
    <row r="28" spans="1:9" s="11" customFormat="1" ht="18.899999999999999" customHeight="1">
      <c r="A28" s="79" t="s">
        <v>148</v>
      </c>
      <c r="B28" s="88">
        <v>208</v>
      </c>
      <c r="C28" s="88">
        <v>30</v>
      </c>
      <c r="D28" s="88" t="s">
        <v>149</v>
      </c>
      <c r="E28" s="88" t="s">
        <v>150</v>
      </c>
      <c r="F28" s="89">
        <v>30</v>
      </c>
      <c r="G28" s="90">
        <v>19</v>
      </c>
      <c r="H28" s="89">
        <v>19</v>
      </c>
      <c r="I28" s="2138">
        <v>0</v>
      </c>
    </row>
    <row r="29" spans="1:9" s="11" customFormat="1" ht="18.899999999999999" customHeight="1">
      <c r="A29" s="79" t="s">
        <v>151</v>
      </c>
      <c r="B29" s="88">
        <v>284</v>
      </c>
      <c r="C29" s="88">
        <v>27</v>
      </c>
      <c r="D29" s="88" t="s">
        <v>152</v>
      </c>
      <c r="E29" s="88" t="s">
        <v>153</v>
      </c>
      <c r="F29" s="89">
        <v>6</v>
      </c>
      <c r="G29" s="90">
        <v>20</v>
      </c>
      <c r="H29" s="89">
        <v>27</v>
      </c>
      <c r="I29" s="90">
        <v>16</v>
      </c>
    </row>
    <row r="30" spans="1:9" s="171" customFormat="1" ht="18.899999999999999" customHeight="1" thickBot="1">
      <c r="A30" s="489"/>
      <c r="B30" s="469"/>
      <c r="C30" s="469"/>
      <c r="D30" s="469"/>
      <c r="E30" s="469"/>
      <c r="F30" s="1138"/>
      <c r="G30" s="1139"/>
      <c r="H30" s="1138"/>
      <c r="I30" s="1139"/>
    </row>
    <row r="31" spans="1:9" s="11" customFormat="1" ht="18" customHeight="1">
      <c r="A31" s="11" t="s">
        <v>154</v>
      </c>
      <c r="D31" s="93"/>
    </row>
    <row r="32" spans="1:9">
      <c r="A32" s="29" t="s">
        <v>155</v>
      </c>
    </row>
    <row r="33" spans="1:1">
      <c r="A33" s="29" t="s">
        <v>156</v>
      </c>
    </row>
    <row r="35" spans="1:1">
      <c r="A35" s="82" t="s">
        <v>157</v>
      </c>
    </row>
    <row r="36" spans="1:1">
      <c r="A36" s="94" t="s">
        <v>158</v>
      </c>
    </row>
  </sheetData>
  <mergeCells count="12">
    <mergeCell ref="G4:G5"/>
    <mergeCell ref="H4:H5"/>
    <mergeCell ref="I4:I5"/>
    <mergeCell ref="A2:A5"/>
    <mergeCell ref="B2:C2"/>
    <mergeCell ref="D2:E2"/>
    <mergeCell ref="F2:I3"/>
    <mergeCell ref="B3:B5"/>
    <mergeCell ref="C3:C5"/>
    <mergeCell ref="D3:D5"/>
    <mergeCell ref="E3:E5"/>
    <mergeCell ref="F4:F5"/>
  </mergeCells>
  <phoneticPr fontId="4"/>
  <hyperlinks>
    <hyperlink ref="A36" r:id="rId1" xr:uid="{4A625C62-8889-42F6-926A-A99767E23F38}"/>
  </hyperlinks>
  <printOptions horizontalCentered="1"/>
  <pageMargins left="0.70866141732283472" right="0.70866141732283472" top="0.74803149606299213" bottom="0.74803149606299213" header="0.31496062992125984" footer="0.31496062992125984"/>
  <pageSetup paperSize="9" scale="96" fitToHeight="0" orientation="portrait"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11BA-3B92-4472-AB73-72779C36B89C}">
  <sheetPr codeName="Sheet124"/>
  <dimension ref="A1:G9"/>
  <sheetViews>
    <sheetView workbookViewId="0"/>
  </sheetViews>
  <sheetFormatPr defaultColWidth="8.09765625" defaultRowHeight="13.2"/>
  <cols>
    <col min="1" max="1" width="12.8984375" style="1431" customWidth="1"/>
    <col min="2" max="2" width="7.796875" style="1431" customWidth="1"/>
    <col min="3" max="3" width="13.19921875" style="1431" customWidth="1"/>
    <col min="4" max="4" width="7.796875" style="1431" customWidth="1"/>
    <col min="5" max="5" width="13.19921875" style="1431" customWidth="1"/>
    <col min="6" max="6" width="7.796875" style="1431" customWidth="1"/>
    <col min="7" max="7" width="13.19921875" style="1431" customWidth="1"/>
    <col min="8" max="16384" width="8.09765625" style="1431"/>
  </cols>
  <sheetData>
    <row r="1" spans="1:7" ht="30" customHeight="1" thickBot="1">
      <c r="A1" s="1481" t="s">
        <v>3098</v>
      </c>
      <c r="G1" s="1482" t="s">
        <v>3091</v>
      </c>
    </row>
    <row r="2" spans="1:7" s="1236" customFormat="1" ht="16.2" customHeight="1">
      <c r="A2" s="2393" t="s">
        <v>3026</v>
      </c>
      <c r="B2" s="2389" t="s">
        <v>3099</v>
      </c>
      <c r="C2" s="2389"/>
      <c r="D2" s="2389" t="s">
        <v>3100</v>
      </c>
      <c r="E2" s="2389"/>
      <c r="F2" s="2389" t="s">
        <v>3101</v>
      </c>
      <c r="G2" s="2390"/>
    </row>
    <row r="3" spans="1:7" s="1236" customFormat="1" ht="16.2" customHeight="1">
      <c r="A3" s="2443"/>
      <c r="B3" s="1272" t="s">
        <v>3102</v>
      </c>
      <c r="C3" s="1272" t="s">
        <v>3103</v>
      </c>
      <c r="D3" s="1272" t="s">
        <v>3102</v>
      </c>
      <c r="E3" s="1272" t="s">
        <v>3103</v>
      </c>
      <c r="F3" s="1272" t="s">
        <v>3102</v>
      </c>
      <c r="G3" s="1435" t="s">
        <v>3103</v>
      </c>
    </row>
    <row r="4" spans="1:7" s="1236" customFormat="1" ht="10.8">
      <c r="A4" s="1720"/>
      <c r="B4" s="1471"/>
      <c r="C4" s="1275" t="s">
        <v>3093</v>
      </c>
      <c r="D4" s="1275"/>
      <c r="E4" s="1275" t="s">
        <v>3093</v>
      </c>
      <c r="F4" s="1275"/>
      <c r="G4" s="1274" t="s">
        <v>3093</v>
      </c>
    </row>
    <row r="5" spans="1:7" s="1236" customFormat="1" ht="22.2" customHeight="1">
      <c r="A5" s="1475" t="s">
        <v>3029</v>
      </c>
      <c r="B5" s="1721">
        <v>18</v>
      </c>
      <c r="C5" s="1722">
        <v>973.6</v>
      </c>
      <c r="D5" s="1721">
        <v>18</v>
      </c>
      <c r="E5" s="1722">
        <v>973.6</v>
      </c>
      <c r="F5" s="1501" t="s">
        <v>431</v>
      </c>
      <c r="G5" s="1588" t="s">
        <v>431</v>
      </c>
    </row>
    <row r="6" spans="1:7" s="1236" customFormat="1" ht="22.2" customHeight="1">
      <c r="A6" s="1475" t="s">
        <v>3104</v>
      </c>
      <c r="B6" s="1723">
        <v>59</v>
      </c>
      <c r="C6" s="1722">
        <v>1335.6</v>
      </c>
      <c r="D6" s="1723">
        <v>59</v>
      </c>
      <c r="E6" s="1722">
        <v>1335.6</v>
      </c>
      <c r="F6" s="1501" t="s">
        <v>431</v>
      </c>
      <c r="G6" s="1588" t="s">
        <v>431</v>
      </c>
    </row>
    <row r="7" spans="1:7" s="1236" customFormat="1" ht="22.2" customHeight="1">
      <c r="A7" s="1475" t="s">
        <v>3056</v>
      </c>
      <c r="B7" s="1723">
        <v>79</v>
      </c>
      <c r="C7" s="1722">
        <v>2525.1999999999998</v>
      </c>
      <c r="D7" s="1723">
        <v>79</v>
      </c>
      <c r="E7" s="1722">
        <v>2525.1999999999998</v>
      </c>
      <c r="F7" s="1695" t="s">
        <v>431</v>
      </c>
      <c r="G7" s="1724" t="s">
        <v>431</v>
      </c>
    </row>
    <row r="8" spans="1:7" s="1236" customFormat="1" ht="22.2" customHeight="1" thickBot="1">
      <c r="A8" s="1725" t="s">
        <v>2976</v>
      </c>
      <c r="B8" s="1726">
        <f>SUM(B5:B7)</f>
        <v>156</v>
      </c>
      <c r="C8" s="1727">
        <f>SUM(C5:C7)</f>
        <v>4834.3999999999996</v>
      </c>
      <c r="D8" s="1726">
        <f>SUM(D5:D7)</f>
        <v>156</v>
      </c>
      <c r="E8" s="1727">
        <f>SUM(E5:E7)</f>
        <v>4834.3999999999996</v>
      </c>
      <c r="F8" s="1728" t="s">
        <v>431</v>
      </c>
      <c r="G8" s="1729" t="s">
        <v>431</v>
      </c>
    </row>
    <row r="9" spans="1:7" s="1236" customFormat="1" ht="16.8" customHeight="1">
      <c r="A9" s="1236" t="s">
        <v>3105</v>
      </c>
    </row>
  </sheetData>
  <mergeCells count="4">
    <mergeCell ref="A2:A3"/>
    <mergeCell ref="B2:C2"/>
    <mergeCell ref="D2:E2"/>
    <mergeCell ref="F2:G2"/>
  </mergeCells>
  <phoneticPr fontId="4"/>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6EAE-AE2E-44BF-BA1A-3ACB8E21C91B}">
  <sheetPr codeName="Sheet125"/>
  <dimension ref="A1:E15"/>
  <sheetViews>
    <sheetView workbookViewId="0"/>
  </sheetViews>
  <sheetFormatPr defaultColWidth="8.09765625" defaultRowHeight="13.2"/>
  <cols>
    <col min="1" max="1" width="9.796875" style="1431" customWidth="1"/>
    <col min="2" max="5" width="12.296875" style="1431" customWidth="1"/>
    <col min="6" max="16384" width="8.09765625" style="1431"/>
  </cols>
  <sheetData>
    <row r="1" spans="1:5" ht="30" customHeight="1" thickBot="1">
      <c r="A1" s="1481" t="s">
        <v>3106</v>
      </c>
      <c r="D1" s="2504" t="s">
        <v>3107</v>
      </c>
      <c r="E1" s="2504"/>
    </row>
    <row r="2" spans="1:5" ht="16.2" customHeight="1">
      <c r="A2" s="2393" t="s">
        <v>3108</v>
      </c>
      <c r="B2" s="2389" t="s">
        <v>3109</v>
      </c>
      <c r="C2" s="2389"/>
      <c r="D2" s="2389" t="s">
        <v>3110</v>
      </c>
      <c r="E2" s="2390"/>
    </row>
    <row r="3" spans="1:5" ht="16.2" customHeight="1">
      <c r="A3" s="2443"/>
      <c r="B3" s="1272" t="s">
        <v>3111</v>
      </c>
      <c r="C3" s="1272" t="s">
        <v>3112</v>
      </c>
      <c r="D3" s="1272" t="s">
        <v>3113</v>
      </c>
      <c r="E3" s="1435" t="s">
        <v>3114</v>
      </c>
    </row>
    <row r="4" spans="1:5">
      <c r="A4" s="1720"/>
      <c r="B4" s="1652" t="s">
        <v>3115</v>
      </c>
      <c r="C4" s="1652" t="s">
        <v>3115</v>
      </c>
      <c r="D4" s="1652" t="s">
        <v>3116</v>
      </c>
      <c r="E4" s="1653" t="s">
        <v>3116</v>
      </c>
    </row>
    <row r="5" spans="1:5" ht="21.6" customHeight="1">
      <c r="A5" s="1475" t="s">
        <v>3117</v>
      </c>
      <c r="B5" s="1730">
        <v>47.41</v>
      </c>
      <c r="C5" s="1730">
        <v>35.200000000000003</v>
      </c>
      <c r="D5" s="1731">
        <v>175.4</v>
      </c>
      <c r="E5" s="1732">
        <v>141.4</v>
      </c>
    </row>
    <row r="6" spans="1:5" ht="21.6" customHeight="1">
      <c r="A6" s="1475" t="s">
        <v>3118</v>
      </c>
      <c r="B6" s="1730">
        <v>18.7</v>
      </c>
      <c r="C6" s="1730">
        <v>18.7</v>
      </c>
      <c r="D6" s="1731">
        <v>49.1</v>
      </c>
      <c r="E6" s="1732">
        <v>49.1</v>
      </c>
    </row>
    <row r="7" spans="1:5" ht="21.6" customHeight="1">
      <c r="A7" s="1475" t="s">
        <v>3119</v>
      </c>
      <c r="B7" s="1730">
        <v>11.2</v>
      </c>
      <c r="C7" s="1730">
        <v>11.2</v>
      </c>
      <c r="D7" s="1731">
        <v>39.6</v>
      </c>
      <c r="E7" s="1732">
        <v>39.6</v>
      </c>
    </row>
    <row r="8" spans="1:5" ht="21.6" customHeight="1">
      <c r="A8" s="1475" t="s">
        <v>3120</v>
      </c>
      <c r="B8" s="1730">
        <v>18.53</v>
      </c>
      <c r="C8" s="1730">
        <v>10</v>
      </c>
      <c r="D8" s="1731">
        <v>80.7</v>
      </c>
      <c r="E8" s="1732">
        <v>59.1</v>
      </c>
    </row>
    <row r="9" spans="1:5" ht="21.6" customHeight="1">
      <c r="A9" s="1475" t="s">
        <v>3121</v>
      </c>
      <c r="B9" s="1730">
        <v>17.2</v>
      </c>
      <c r="C9" s="1730">
        <v>17.2</v>
      </c>
      <c r="D9" s="1731">
        <v>59.7</v>
      </c>
      <c r="E9" s="1732">
        <v>58.9</v>
      </c>
    </row>
    <row r="10" spans="1:5" ht="21.6" customHeight="1">
      <c r="A10" s="1475" t="s">
        <v>3122</v>
      </c>
      <c r="B10" s="1730">
        <v>62</v>
      </c>
      <c r="C10" s="1730">
        <v>11.4</v>
      </c>
      <c r="D10" s="1731">
        <v>413.1</v>
      </c>
      <c r="E10" s="1732">
        <v>10.1</v>
      </c>
    </row>
    <row r="11" spans="1:5" ht="21.6" customHeight="1">
      <c r="A11" s="1475" t="s">
        <v>3123</v>
      </c>
      <c r="B11" s="1730">
        <v>18.7</v>
      </c>
      <c r="C11" s="1730">
        <v>17</v>
      </c>
      <c r="D11" s="1731">
        <v>51.3</v>
      </c>
      <c r="E11" s="1732">
        <v>41.6</v>
      </c>
    </row>
    <row r="12" spans="1:5" ht="21.6" customHeight="1">
      <c r="A12" s="1475" t="s">
        <v>3124</v>
      </c>
      <c r="B12" s="1730">
        <v>28.4</v>
      </c>
      <c r="C12" s="1730">
        <v>7.2</v>
      </c>
      <c r="D12" s="1731">
        <v>61.1</v>
      </c>
      <c r="E12" s="1732">
        <v>19.600000000000001</v>
      </c>
    </row>
    <row r="13" spans="1:5" ht="21.6" customHeight="1">
      <c r="A13" s="1475" t="s">
        <v>3125</v>
      </c>
      <c r="B13" s="1730">
        <v>2.9</v>
      </c>
      <c r="C13" s="1730">
        <v>2.9</v>
      </c>
      <c r="D13" s="1731">
        <v>5.6</v>
      </c>
      <c r="E13" s="1732">
        <v>5.6</v>
      </c>
    </row>
    <row r="14" spans="1:5" ht="21.6" customHeight="1" thickBot="1">
      <c r="A14" s="1478" t="s">
        <v>3126</v>
      </c>
      <c r="B14" s="1733">
        <v>3</v>
      </c>
      <c r="C14" s="1733">
        <v>3</v>
      </c>
      <c r="D14" s="1734">
        <v>7.6</v>
      </c>
      <c r="E14" s="1735">
        <v>7.6</v>
      </c>
    </row>
    <row r="15" spans="1:5" s="1236" customFormat="1" ht="21.6" customHeight="1">
      <c r="A15" s="1236" t="s">
        <v>3127</v>
      </c>
    </row>
  </sheetData>
  <mergeCells count="4">
    <mergeCell ref="D1:E1"/>
    <mergeCell ref="A2:A3"/>
    <mergeCell ref="B2:C2"/>
    <mergeCell ref="D2:E2"/>
  </mergeCells>
  <phoneticPr fontId="4"/>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2EAE-5E82-40F4-9CB8-25B409BD337B}">
  <sheetPr codeName="Sheet68"/>
  <dimension ref="A1:B22"/>
  <sheetViews>
    <sheetView workbookViewId="0"/>
  </sheetViews>
  <sheetFormatPr defaultColWidth="9" defaultRowHeight="13.2"/>
  <cols>
    <col min="1" max="2" width="25.59765625" style="2" customWidth="1"/>
    <col min="3" max="16384" width="9" style="2"/>
  </cols>
  <sheetData>
    <row r="1" spans="1:2" ht="30" customHeight="1" thickBot="1">
      <c r="A1" s="259" t="s">
        <v>1757</v>
      </c>
    </row>
    <row r="2" spans="1:2" s="11" customFormat="1" ht="29.25" customHeight="1">
      <c r="A2" s="250" t="s">
        <v>1758</v>
      </c>
      <c r="B2" s="248" t="s">
        <v>1759</v>
      </c>
    </row>
    <row r="3" spans="1:2" s="11" customFormat="1" ht="12" customHeight="1">
      <c r="A3" s="243"/>
      <c r="B3" s="39" t="s">
        <v>1760</v>
      </c>
    </row>
    <row r="4" spans="1:2" s="11" customFormat="1" ht="18.75" customHeight="1" thickBot="1">
      <c r="A4" s="911">
        <v>34575</v>
      </c>
      <c r="B4" s="900">
        <v>8490</v>
      </c>
    </row>
    <row r="5" spans="1:2" s="11" customFormat="1" ht="18" customHeight="1">
      <c r="A5" s="11" t="s">
        <v>1761</v>
      </c>
    </row>
    <row r="6" spans="1:2" s="11" customFormat="1" ht="10.8"/>
    <row r="7" spans="1:2" s="11" customFormat="1" ht="10.8"/>
    <row r="8" spans="1:2" s="11" customFormat="1" ht="10.8"/>
    <row r="9" spans="1:2" s="11" customFormat="1" ht="10.8"/>
    <row r="10" spans="1:2" s="11" customFormat="1" ht="10.8"/>
    <row r="11" spans="1:2" s="11" customFormat="1" ht="10.8"/>
    <row r="12" spans="1:2" s="11" customFormat="1" ht="10.8"/>
    <row r="13" spans="1:2" s="11" customFormat="1" ht="10.8"/>
    <row r="14" spans="1:2" s="11" customFormat="1" ht="10.8"/>
    <row r="15" spans="1:2" s="11" customFormat="1" ht="10.8"/>
    <row r="16" spans="1:2" s="11" customFormat="1" ht="10.8"/>
    <row r="17" s="11" customFormat="1" ht="10.8"/>
    <row r="18" s="11" customFormat="1" ht="10.8"/>
    <row r="19" s="11" customFormat="1" ht="10.8"/>
    <row r="20" s="11" customFormat="1" ht="10.8"/>
    <row r="21" s="11" customFormat="1" ht="10.8"/>
    <row r="22" s="11" customFormat="1" ht="10.8"/>
  </sheetData>
  <phoneticPr fontId="4"/>
  <pageMargins left="0.86614173228346458" right="0.86614173228346458" top="0.98425196850393704" bottom="0.98425196850393704" header="0.51181102362204722" footer="0.51181102362204722"/>
  <pageSetup paperSize="9" orientation="portrait"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0BF5-65B6-4ECE-81E7-946A915DEB29}">
  <sheetPr codeName="Sheet69"/>
  <dimension ref="A1:F44"/>
  <sheetViews>
    <sheetView zoomScaleNormal="100" workbookViewId="0"/>
  </sheetViews>
  <sheetFormatPr defaultColWidth="9" defaultRowHeight="13.2"/>
  <cols>
    <col min="1" max="1" width="10.3984375" style="2" customWidth="1"/>
    <col min="2" max="2" width="23.69921875" style="2" customWidth="1"/>
    <col min="3" max="3" width="8" style="2" customWidth="1"/>
    <col min="4" max="4" width="4" style="2" customWidth="1"/>
    <col min="5" max="5" width="15.5" style="2" customWidth="1"/>
    <col min="6" max="6" width="19.59765625" style="2" customWidth="1"/>
    <col min="7" max="16384" width="9" style="2"/>
  </cols>
  <sheetData>
    <row r="1" spans="1:6" ht="30" customHeight="1" thickBot="1">
      <c r="A1" s="259" t="s">
        <v>1762</v>
      </c>
      <c r="F1" s="912"/>
    </row>
    <row r="2" spans="1:6" s="11" customFormat="1" ht="20.25" customHeight="1">
      <c r="A2" s="2185" t="s">
        <v>1763</v>
      </c>
      <c r="B2" s="2183" t="s">
        <v>1764</v>
      </c>
      <c r="C2" s="2184"/>
      <c r="D2" s="2184"/>
      <c r="E2" s="2185"/>
      <c r="F2" s="2186" t="s">
        <v>1765</v>
      </c>
    </row>
    <row r="3" spans="1:6" s="11" customFormat="1" ht="20.25" customHeight="1">
      <c r="A3" s="2611"/>
      <c r="B3" s="130" t="s">
        <v>1766</v>
      </c>
      <c r="C3" s="2593" t="s">
        <v>1767</v>
      </c>
      <c r="D3" s="2611"/>
      <c r="E3" s="130" t="s">
        <v>1758</v>
      </c>
      <c r="F3" s="2189"/>
    </row>
    <row r="4" spans="1:6" s="11" customFormat="1" ht="20.25" customHeight="1">
      <c r="A4" s="247" t="s">
        <v>1768</v>
      </c>
      <c r="B4" s="247"/>
      <c r="C4" s="867">
        <v>135</v>
      </c>
      <c r="D4" s="913" t="s">
        <v>1769</v>
      </c>
      <c r="E4" s="914">
        <v>21824</v>
      </c>
      <c r="F4" s="915"/>
    </row>
    <row r="5" spans="1:6" s="11" customFormat="1" ht="20.25" customHeight="1">
      <c r="A5" s="2191" t="s">
        <v>1770</v>
      </c>
      <c r="B5" s="243" t="s">
        <v>1771</v>
      </c>
      <c r="C5" s="916">
        <v>598</v>
      </c>
      <c r="D5" s="917" t="s">
        <v>1769</v>
      </c>
      <c r="E5" s="2670">
        <v>23830</v>
      </c>
      <c r="F5" s="918" t="s">
        <v>1772</v>
      </c>
    </row>
    <row r="6" spans="1:6" s="11" customFormat="1" ht="20.25" customHeight="1">
      <c r="A6" s="2181"/>
      <c r="B6" s="247" t="s">
        <v>1773</v>
      </c>
      <c r="C6" s="867">
        <v>455</v>
      </c>
      <c r="D6" s="913" t="s">
        <v>1769</v>
      </c>
      <c r="E6" s="2198"/>
      <c r="F6" s="915"/>
    </row>
    <row r="7" spans="1:6" s="11" customFormat="1" ht="20.25" customHeight="1" thickBot="1">
      <c r="A7" s="2669"/>
      <c r="B7" s="220" t="s">
        <v>1774</v>
      </c>
      <c r="C7" s="920">
        <v>103</v>
      </c>
      <c r="D7" s="921" t="s">
        <v>1769</v>
      </c>
      <c r="E7" s="2336"/>
      <c r="F7" s="922"/>
    </row>
    <row r="8" spans="1:6" s="11" customFormat="1" ht="20.25" customHeight="1">
      <c r="A8" s="11" t="s">
        <v>1761</v>
      </c>
    </row>
    <row r="9" spans="1:6" s="11" customFormat="1" ht="20.25" customHeight="1"/>
    <row r="10" spans="1:6" s="11" customFormat="1" ht="20.25" customHeight="1"/>
    <row r="11" spans="1:6" s="11" customFormat="1" ht="20.25" customHeight="1"/>
    <row r="12" spans="1:6" s="11" customFormat="1" ht="20.25" customHeight="1"/>
    <row r="13" spans="1:6" s="11" customFormat="1" ht="20.25" customHeight="1"/>
    <row r="14" spans="1:6" s="11" customFormat="1" ht="20.25" customHeight="1"/>
    <row r="15" spans="1:6" s="11" customFormat="1" ht="20.25" customHeight="1"/>
    <row r="16" spans="1:6" s="11" customFormat="1" ht="20.25" customHeight="1"/>
    <row r="17" s="11" customFormat="1" ht="20.25" customHeight="1"/>
    <row r="18" s="11" customFormat="1" ht="20.25" customHeight="1"/>
    <row r="19" s="11" customFormat="1" ht="20.25" customHeight="1"/>
    <row r="20" s="11" customFormat="1" ht="20.25" customHeight="1"/>
    <row r="21" s="11" customFormat="1" ht="20.25" customHeight="1"/>
    <row r="22" s="11" customFormat="1" ht="20.25" customHeight="1"/>
    <row r="23" s="11" customFormat="1" ht="20.25" customHeight="1"/>
    <row r="24" s="11" customFormat="1" ht="20.25" customHeight="1"/>
    <row r="25" s="11" customFormat="1"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sheetData>
  <mergeCells count="6">
    <mergeCell ref="A2:A3"/>
    <mergeCell ref="B2:E2"/>
    <mergeCell ref="F2:F3"/>
    <mergeCell ref="C3:D3"/>
    <mergeCell ref="A5:A7"/>
    <mergeCell ref="E5:E7"/>
  </mergeCells>
  <phoneticPr fontId="4"/>
  <pageMargins left="0.86614173228346458" right="0.86614173228346458" top="0.98425196850393704" bottom="0.98425196850393704" header="0.51181102362204722" footer="0.51181102362204722"/>
  <pageSetup paperSize="9" scale="94" orientation="portrait"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CEF8-B91F-4DFF-A252-5D7BC84208A1}">
  <sheetPr codeName="Sheet126"/>
  <dimension ref="A1:N26"/>
  <sheetViews>
    <sheetView workbookViewId="0"/>
  </sheetViews>
  <sheetFormatPr defaultColWidth="8.09765625" defaultRowHeight="13.2"/>
  <cols>
    <col min="1" max="1" width="6.8984375" style="1431" customWidth="1"/>
    <col min="2" max="14" width="8.296875" style="1431" customWidth="1"/>
    <col min="15" max="25" width="5.09765625" style="1431" customWidth="1"/>
    <col min="26" max="16384" width="8.09765625" style="1431"/>
  </cols>
  <sheetData>
    <row r="1" spans="1:14" ht="30" customHeight="1" thickBot="1">
      <c r="A1" s="1481" t="s">
        <v>3128</v>
      </c>
      <c r="D1" s="1482"/>
      <c r="N1" s="1482" t="s">
        <v>3129</v>
      </c>
    </row>
    <row r="2" spans="1:14" s="1236" customFormat="1" ht="39" customHeight="1">
      <c r="A2" s="1736"/>
      <c r="B2" s="1737" t="s">
        <v>3130</v>
      </c>
      <c r="C2" s="1738" t="s">
        <v>3131</v>
      </c>
      <c r="D2" s="1738" t="s">
        <v>3132</v>
      </c>
      <c r="E2" s="1738" t="s">
        <v>3133</v>
      </c>
      <c r="F2" s="1738" t="s">
        <v>3134</v>
      </c>
      <c r="G2" s="1738" t="s">
        <v>3135</v>
      </c>
      <c r="H2" s="1738" t="s">
        <v>3136</v>
      </c>
      <c r="I2" s="1748" t="s">
        <v>3137</v>
      </c>
      <c r="J2" s="1739" t="s">
        <v>3138</v>
      </c>
      <c r="K2" s="1738" t="s">
        <v>3139</v>
      </c>
      <c r="L2" s="1739" t="s">
        <v>3140</v>
      </c>
      <c r="M2" s="1738" t="s">
        <v>3141</v>
      </c>
      <c r="N2" s="1740"/>
    </row>
    <row r="3" spans="1:14" s="1236" customFormat="1" ht="39.6" customHeight="1">
      <c r="A3" s="1741" t="s">
        <v>3142</v>
      </c>
      <c r="B3" s="1742" t="s">
        <v>3143</v>
      </c>
      <c r="C3" s="1743">
        <v>5</v>
      </c>
      <c r="D3" s="1744">
        <v>175.5</v>
      </c>
      <c r="E3" s="1742">
        <v>33</v>
      </c>
      <c r="F3" s="1744">
        <v>169.5</v>
      </c>
      <c r="G3" s="1742">
        <v>89</v>
      </c>
      <c r="H3" s="1742">
        <v>35</v>
      </c>
      <c r="I3" s="1745">
        <v>3.5</v>
      </c>
      <c r="J3" s="1742">
        <v>19</v>
      </c>
      <c r="K3" s="1742">
        <v>93</v>
      </c>
      <c r="L3" s="1742">
        <v>19</v>
      </c>
      <c r="M3" s="1742">
        <v>67</v>
      </c>
      <c r="N3" s="1650" t="s">
        <v>3144</v>
      </c>
    </row>
    <row r="4" spans="1:14" s="1236" customFormat="1" ht="39.6" customHeight="1">
      <c r="A4" s="1746" t="s">
        <v>3145</v>
      </c>
      <c r="B4" s="1272" t="s">
        <v>3146</v>
      </c>
      <c r="C4" s="1272">
        <v>80</v>
      </c>
      <c r="D4" s="1272">
        <v>200</v>
      </c>
      <c r="E4" s="1272">
        <v>200</v>
      </c>
      <c r="F4" s="1272">
        <v>200</v>
      </c>
      <c r="G4" s="1272">
        <v>200</v>
      </c>
      <c r="H4" s="1272">
        <v>200</v>
      </c>
      <c r="I4" s="1272">
        <v>200</v>
      </c>
      <c r="J4" s="1272">
        <v>400</v>
      </c>
      <c r="K4" s="1272">
        <v>200</v>
      </c>
      <c r="L4" s="1272">
        <v>200</v>
      </c>
      <c r="M4" s="1272">
        <v>200</v>
      </c>
      <c r="N4" s="1435"/>
    </row>
    <row r="5" spans="1:14" s="1236" customFormat="1" ht="39.6" customHeight="1">
      <c r="A5" s="1447" t="s">
        <v>1783</v>
      </c>
      <c r="B5" s="1272" t="s">
        <v>3147</v>
      </c>
      <c r="C5" s="1272">
        <v>50</v>
      </c>
      <c r="D5" s="1272">
        <v>60</v>
      </c>
      <c r="E5" s="1272">
        <v>60</v>
      </c>
      <c r="F5" s="1272">
        <v>60</v>
      </c>
      <c r="G5" s="1272">
        <v>60</v>
      </c>
      <c r="H5" s="1272">
        <v>60</v>
      </c>
      <c r="I5" s="1272">
        <v>80</v>
      </c>
      <c r="J5" s="1272">
        <v>80</v>
      </c>
      <c r="K5" s="1272">
        <v>60</v>
      </c>
      <c r="L5" s="1272">
        <v>60</v>
      </c>
      <c r="M5" s="1272">
        <v>60</v>
      </c>
      <c r="N5" s="1435"/>
    </row>
    <row r="6" spans="1:14" s="1236" customFormat="1" ht="39.6" customHeight="1">
      <c r="A6" s="1746" t="s">
        <v>3148</v>
      </c>
      <c r="B6" s="1272">
        <v>1.25</v>
      </c>
      <c r="C6" s="1272">
        <v>1.25</v>
      </c>
      <c r="D6" s="1272">
        <v>1.25</v>
      </c>
      <c r="E6" s="1272">
        <v>1.25</v>
      </c>
      <c r="F6" s="1272">
        <v>1.25</v>
      </c>
      <c r="G6" s="1272">
        <v>1.25</v>
      </c>
      <c r="H6" s="1272">
        <v>1.25</v>
      </c>
      <c r="I6" s="1272">
        <v>1.5</v>
      </c>
      <c r="J6" s="1272">
        <v>1.5</v>
      </c>
      <c r="K6" s="1272">
        <v>1.5</v>
      </c>
      <c r="L6" s="1272">
        <v>1.5</v>
      </c>
      <c r="M6" s="1272">
        <v>1.5</v>
      </c>
      <c r="N6" s="1435"/>
    </row>
    <row r="7" spans="1:14" s="1236" customFormat="1" ht="39.6" customHeight="1">
      <c r="A7" s="1746" t="s">
        <v>1785</v>
      </c>
      <c r="B7" s="1272" t="s">
        <v>305</v>
      </c>
      <c r="C7" s="1272" t="s">
        <v>305</v>
      </c>
      <c r="D7" s="1272">
        <v>1.25</v>
      </c>
      <c r="E7" s="1272">
        <v>1.25</v>
      </c>
      <c r="F7" s="1272">
        <v>1.25</v>
      </c>
      <c r="G7" s="1272">
        <v>1.25</v>
      </c>
      <c r="H7" s="1272">
        <v>1.25</v>
      </c>
      <c r="I7" s="1272">
        <v>2.5</v>
      </c>
      <c r="J7" s="1272">
        <v>2.5</v>
      </c>
      <c r="K7" s="1272">
        <v>2.5</v>
      </c>
      <c r="L7" s="1272">
        <v>2.5</v>
      </c>
      <c r="M7" s="1272">
        <v>2.5</v>
      </c>
      <c r="N7" s="1435"/>
    </row>
    <row r="8" spans="1:14" s="1236" customFormat="1" ht="39.6" customHeight="1" thickBot="1">
      <c r="A8" s="1747" t="s">
        <v>3149</v>
      </c>
      <c r="B8" s="1728">
        <v>10</v>
      </c>
      <c r="C8" s="1728">
        <v>10</v>
      </c>
      <c r="D8" s="1728" t="s">
        <v>305</v>
      </c>
      <c r="E8" s="1728" t="s">
        <v>305</v>
      </c>
      <c r="F8" s="1728" t="s">
        <v>305</v>
      </c>
      <c r="G8" s="1728" t="s">
        <v>305</v>
      </c>
      <c r="H8" s="1728" t="s">
        <v>305</v>
      </c>
      <c r="I8" s="1728" t="s">
        <v>305</v>
      </c>
      <c r="J8" s="1728" t="s">
        <v>305</v>
      </c>
      <c r="K8" s="1728" t="s">
        <v>305</v>
      </c>
      <c r="L8" s="1728" t="s">
        <v>305</v>
      </c>
      <c r="M8" s="1728" t="s">
        <v>305</v>
      </c>
      <c r="N8" s="1729"/>
    </row>
    <row r="9" spans="1:14" s="1236" customFormat="1" ht="16.8" customHeight="1">
      <c r="A9" s="1236" t="s">
        <v>3150</v>
      </c>
    </row>
    <row r="10" spans="1:14" s="1236" customFormat="1" ht="10.8"/>
    <row r="11" spans="1:14" s="1236" customFormat="1" ht="10.8"/>
    <row r="12" spans="1:14" s="1236" customFormat="1" ht="10.8"/>
    <row r="13" spans="1:14" s="1236" customFormat="1" ht="10.8"/>
    <row r="14" spans="1:14" s="1236" customFormat="1" ht="10.8"/>
    <row r="15" spans="1:14" s="1236" customFormat="1" ht="10.8"/>
    <row r="16" spans="1:14" s="1236" customFormat="1" ht="10.8"/>
    <row r="17" s="1236" customFormat="1" ht="10.8"/>
    <row r="18" s="1236" customFormat="1" ht="10.8"/>
    <row r="19" s="1236" customFormat="1" ht="10.8"/>
    <row r="20" s="1236" customFormat="1" ht="10.8"/>
    <row r="21" s="1236" customFormat="1" ht="10.8"/>
    <row r="22" s="1236" customFormat="1" ht="10.8"/>
    <row r="23" s="1236" customFormat="1" ht="10.8"/>
    <row r="24" s="1236" customFormat="1" ht="10.8"/>
    <row r="25" s="1236" customFormat="1" ht="10.8"/>
    <row r="26" s="1236" customFormat="1" ht="10.8"/>
  </sheetData>
  <phoneticPr fontId="4"/>
  <pageMargins left="0.7" right="0.7" top="0.75" bottom="0.75" header="0.3" footer="0.3"/>
  <pageSetup paperSize="9" orientation="landscape"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5837E-E096-4935-A8E3-21B4CF7C4889}">
  <sheetPr codeName="Sheet70"/>
  <dimension ref="A1:F14"/>
  <sheetViews>
    <sheetView workbookViewId="0">
      <selection activeCell="A19" sqref="A19"/>
    </sheetView>
  </sheetViews>
  <sheetFormatPr defaultColWidth="9" defaultRowHeight="13.2"/>
  <cols>
    <col min="1" max="1" width="12.59765625" style="82" customWidth="1"/>
    <col min="2" max="4" width="14.59765625" style="82" customWidth="1"/>
    <col min="5" max="16384" width="9" style="82"/>
  </cols>
  <sheetData>
    <row r="1" spans="1:6" ht="30" customHeight="1">
      <c r="A1" s="252" t="s">
        <v>1775</v>
      </c>
    </row>
    <row r="2" spans="1:6" ht="13.8" thickBot="1">
      <c r="A2" s="29"/>
      <c r="C2" s="29"/>
      <c r="D2" s="923" t="s">
        <v>1776</v>
      </c>
    </row>
    <row r="3" spans="1:6" ht="30" customHeight="1">
      <c r="A3" s="924"/>
      <c r="B3" s="925" t="s">
        <v>1777</v>
      </c>
      <c r="C3" s="926" t="s">
        <v>1778</v>
      </c>
      <c r="D3" s="927" t="s">
        <v>1779</v>
      </c>
      <c r="E3" s="29"/>
    </row>
    <row r="4" spans="1:6" ht="30" customHeight="1">
      <c r="A4" s="928" t="s">
        <v>1780</v>
      </c>
      <c r="B4" s="935">
        <v>4423</v>
      </c>
      <c r="C4" s="935">
        <v>2053</v>
      </c>
      <c r="D4" s="929" t="s">
        <v>1781</v>
      </c>
      <c r="E4" s="29"/>
    </row>
    <row r="5" spans="1:6" ht="30" customHeight="1">
      <c r="A5" s="928" t="s">
        <v>1782</v>
      </c>
      <c r="B5" s="930">
        <v>200</v>
      </c>
      <c r="C5" s="930">
        <v>100</v>
      </c>
      <c r="D5" s="929">
        <v>300</v>
      </c>
      <c r="E5" s="29"/>
    </row>
    <row r="6" spans="1:6" ht="30" customHeight="1">
      <c r="A6" s="928" t="s">
        <v>1783</v>
      </c>
      <c r="B6" s="930">
        <v>60</v>
      </c>
      <c r="C6" s="930">
        <v>60</v>
      </c>
      <c r="D6" s="929">
        <v>70</v>
      </c>
      <c r="E6" s="29"/>
    </row>
    <row r="7" spans="1:6" ht="30" customHeight="1">
      <c r="A7" s="928" t="s">
        <v>1784</v>
      </c>
      <c r="B7" s="930">
        <v>1.25</v>
      </c>
      <c r="C7" s="931">
        <v>1.25</v>
      </c>
      <c r="D7" s="929">
        <v>1.5</v>
      </c>
      <c r="E7" s="29"/>
    </row>
    <row r="8" spans="1:6" ht="30" customHeight="1" thickBot="1">
      <c r="A8" s="932" t="s">
        <v>1785</v>
      </c>
      <c r="B8" s="933">
        <v>1.25</v>
      </c>
      <c r="C8" s="933">
        <v>1.25</v>
      </c>
      <c r="D8" s="934">
        <v>2.5</v>
      </c>
      <c r="E8" s="29"/>
    </row>
    <row r="9" spans="1:6" ht="30" customHeight="1">
      <c r="A9" s="29" t="s">
        <v>1786</v>
      </c>
    </row>
    <row r="10" spans="1:6" ht="30" customHeight="1"/>
    <row r="14" spans="1:6">
      <c r="F14" s="82" t="s">
        <v>256</v>
      </c>
    </row>
  </sheetData>
  <phoneticPr fontId="4"/>
  <pageMargins left="0.82677165354330717" right="0.82677165354330717" top="0.78740157480314965" bottom="0.78740157480314965" header="0.51181102362204722" footer="0.51181102362204722"/>
  <pageSetup paperSize="9" orientation="portrait"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C9865-4AF5-4F17-A429-DEE44BD492E4}">
  <sheetPr codeName="Sheet127"/>
  <dimension ref="A1:J10"/>
  <sheetViews>
    <sheetView workbookViewId="0"/>
  </sheetViews>
  <sheetFormatPr defaultRowHeight="25.2" customHeight="1"/>
  <cols>
    <col min="1" max="10" width="7.796875" style="1343" customWidth="1"/>
    <col min="11" max="256" width="8.796875" style="1343"/>
    <col min="257" max="266" width="7.796875" style="1343" customWidth="1"/>
    <col min="267" max="512" width="8.796875" style="1343"/>
    <col min="513" max="522" width="7.796875" style="1343" customWidth="1"/>
    <col min="523" max="768" width="8.796875" style="1343"/>
    <col min="769" max="778" width="7.796875" style="1343" customWidth="1"/>
    <col min="779" max="1024" width="8.796875" style="1343"/>
    <col min="1025" max="1034" width="7.796875" style="1343" customWidth="1"/>
    <col min="1035" max="1280" width="8.796875" style="1343"/>
    <col min="1281" max="1290" width="7.796875" style="1343" customWidth="1"/>
    <col min="1291" max="1536" width="8.796875" style="1343"/>
    <col min="1537" max="1546" width="7.796875" style="1343" customWidth="1"/>
    <col min="1547" max="1792" width="8.796875" style="1343"/>
    <col min="1793" max="1802" width="7.796875" style="1343" customWidth="1"/>
    <col min="1803" max="2048" width="8.796875" style="1343"/>
    <col min="2049" max="2058" width="7.796875" style="1343" customWidth="1"/>
    <col min="2059" max="2304" width="8.796875" style="1343"/>
    <col min="2305" max="2314" width="7.796875" style="1343" customWidth="1"/>
    <col min="2315" max="2560" width="8.796875" style="1343"/>
    <col min="2561" max="2570" width="7.796875" style="1343" customWidth="1"/>
    <col min="2571" max="2816" width="8.796875" style="1343"/>
    <col min="2817" max="2826" width="7.796875" style="1343" customWidth="1"/>
    <col min="2827" max="3072" width="8.796875" style="1343"/>
    <col min="3073" max="3082" width="7.796875" style="1343" customWidth="1"/>
    <col min="3083" max="3328" width="8.796875" style="1343"/>
    <col min="3329" max="3338" width="7.796875" style="1343" customWidth="1"/>
    <col min="3339" max="3584" width="8.796875" style="1343"/>
    <col min="3585" max="3594" width="7.796875" style="1343" customWidth="1"/>
    <col min="3595" max="3840" width="8.796875" style="1343"/>
    <col min="3841" max="3850" width="7.796875" style="1343" customWidth="1"/>
    <col min="3851" max="4096" width="8.796875" style="1343"/>
    <col min="4097" max="4106" width="7.796875" style="1343" customWidth="1"/>
    <col min="4107" max="4352" width="8.796875" style="1343"/>
    <col min="4353" max="4362" width="7.796875" style="1343" customWidth="1"/>
    <col min="4363" max="4608" width="8.796875" style="1343"/>
    <col min="4609" max="4618" width="7.796875" style="1343" customWidth="1"/>
    <col min="4619" max="4864" width="8.796875" style="1343"/>
    <col min="4865" max="4874" width="7.796875" style="1343" customWidth="1"/>
    <col min="4875" max="5120" width="8.796875" style="1343"/>
    <col min="5121" max="5130" width="7.796875" style="1343" customWidth="1"/>
    <col min="5131" max="5376" width="8.796875" style="1343"/>
    <col min="5377" max="5386" width="7.796875" style="1343" customWidth="1"/>
    <col min="5387" max="5632" width="8.796875" style="1343"/>
    <col min="5633" max="5642" width="7.796875" style="1343" customWidth="1"/>
    <col min="5643" max="5888" width="8.796875" style="1343"/>
    <col min="5889" max="5898" width="7.796875" style="1343" customWidth="1"/>
    <col min="5899" max="6144" width="8.796875" style="1343"/>
    <col min="6145" max="6154" width="7.796875" style="1343" customWidth="1"/>
    <col min="6155" max="6400" width="8.796875" style="1343"/>
    <col min="6401" max="6410" width="7.796875" style="1343" customWidth="1"/>
    <col min="6411" max="6656" width="8.796875" style="1343"/>
    <col min="6657" max="6666" width="7.796875" style="1343" customWidth="1"/>
    <col min="6667" max="6912" width="8.796875" style="1343"/>
    <col min="6913" max="6922" width="7.796875" style="1343" customWidth="1"/>
    <col min="6923" max="7168" width="8.796875" style="1343"/>
    <col min="7169" max="7178" width="7.796875" style="1343" customWidth="1"/>
    <col min="7179" max="7424" width="8.796875" style="1343"/>
    <col min="7425" max="7434" width="7.796875" style="1343" customWidth="1"/>
    <col min="7435" max="7680" width="8.796875" style="1343"/>
    <col min="7681" max="7690" width="7.796875" style="1343" customWidth="1"/>
    <col min="7691" max="7936" width="8.796875" style="1343"/>
    <col min="7937" max="7946" width="7.796875" style="1343" customWidth="1"/>
    <col min="7947" max="8192" width="8.796875" style="1343"/>
    <col min="8193" max="8202" width="7.796875" style="1343" customWidth="1"/>
    <col min="8203" max="8448" width="8.796875" style="1343"/>
    <col min="8449" max="8458" width="7.796875" style="1343" customWidth="1"/>
    <col min="8459" max="8704" width="8.796875" style="1343"/>
    <col min="8705" max="8714" width="7.796875" style="1343" customWidth="1"/>
    <col min="8715" max="8960" width="8.796875" style="1343"/>
    <col min="8961" max="8970" width="7.796875" style="1343" customWidth="1"/>
    <col min="8971" max="9216" width="8.796875" style="1343"/>
    <col min="9217" max="9226" width="7.796875" style="1343" customWidth="1"/>
    <col min="9227" max="9472" width="8.796875" style="1343"/>
    <col min="9473" max="9482" width="7.796875" style="1343" customWidth="1"/>
    <col min="9483" max="9728" width="8.796875" style="1343"/>
    <col min="9729" max="9738" width="7.796875" style="1343" customWidth="1"/>
    <col min="9739" max="9984" width="8.796875" style="1343"/>
    <col min="9985" max="9994" width="7.796875" style="1343" customWidth="1"/>
    <col min="9995" max="10240" width="8.796875" style="1343"/>
    <col min="10241" max="10250" width="7.796875" style="1343" customWidth="1"/>
    <col min="10251" max="10496" width="8.796875" style="1343"/>
    <col min="10497" max="10506" width="7.796875" style="1343" customWidth="1"/>
    <col min="10507" max="10752" width="8.796875" style="1343"/>
    <col min="10753" max="10762" width="7.796875" style="1343" customWidth="1"/>
    <col min="10763" max="11008" width="8.796875" style="1343"/>
    <col min="11009" max="11018" width="7.796875" style="1343" customWidth="1"/>
    <col min="11019" max="11264" width="8.796875" style="1343"/>
    <col min="11265" max="11274" width="7.796875" style="1343" customWidth="1"/>
    <col min="11275" max="11520" width="8.796875" style="1343"/>
    <col min="11521" max="11530" width="7.796875" style="1343" customWidth="1"/>
    <col min="11531" max="11776" width="8.796875" style="1343"/>
    <col min="11777" max="11786" width="7.796875" style="1343" customWidth="1"/>
    <col min="11787" max="12032" width="8.796875" style="1343"/>
    <col min="12033" max="12042" width="7.796875" style="1343" customWidth="1"/>
    <col min="12043" max="12288" width="8.796875" style="1343"/>
    <col min="12289" max="12298" width="7.796875" style="1343" customWidth="1"/>
    <col min="12299" max="12544" width="8.796875" style="1343"/>
    <col min="12545" max="12554" width="7.796875" style="1343" customWidth="1"/>
    <col min="12555" max="12800" width="8.796875" style="1343"/>
    <col min="12801" max="12810" width="7.796875" style="1343" customWidth="1"/>
    <col min="12811" max="13056" width="8.796875" style="1343"/>
    <col min="13057" max="13066" width="7.796875" style="1343" customWidth="1"/>
    <col min="13067" max="13312" width="8.796875" style="1343"/>
    <col min="13313" max="13322" width="7.796875" style="1343" customWidth="1"/>
    <col min="13323" max="13568" width="8.796875" style="1343"/>
    <col min="13569" max="13578" width="7.796875" style="1343" customWidth="1"/>
    <col min="13579" max="13824" width="8.796875" style="1343"/>
    <col min="13825" max="13834" width="7.796875" style="1343" customWidth="1"/>
    <col min="13835" max="14080" width="8.796875" style="1343"/>
    <col min="14081" max="14090" width="7.796875" style="1343" customWidth="1"/>
    <col min="14091" max="14336" width="8.796875" style="1343"/>
    <col min="14337" max="14346" width="7.796875" style="1343" customWidth="1"/>
    <col min="14347" max="14592" width="8.796875" style="1343"/>
    <col min="14593" max="14602" width="7.796875" style="1343" customWidth="1"/>
    <col min="14603" max="14848" width="8.796875" style="1343"/>
    <col min="14849" max="14858" width="7.796875" style="1343" customWidth="1"/>
    <col min="14859" max="15104" width="8.796875" style="1343"/>
    <col min="15105" max="15114" width="7.796875" style="1343" customWidth="1"/>
    <col min="15115" max="15360" width="8.796875" style="1343"/>
    <col min="15361" max="15370" width="7.796875" style="1343" customWidth="1"/>
    <col min="15371" max="15616" width="8.796875" style="1343"/>
    <col min="15617" max="15626" width="7.796875" style="1343" customWidth="1"/>
    <col min="15627" max="15872" width="8.796875" style="1343"/>
    <col min="15873" max="15882" width="7.796875" style="1343" customWidth="1"/>
    <col min="15883" max="16128" width="8.796875" style="1343"/>
    <col min="16129" max="16138" width="7.796875" style="1343" customWidth="1"/>
    <col min="16139" max="16384" width="8.796875" style="1343"/>
  </cols>
  <sheetData>
    <row r="1" spans="1:10" ht="30" customHeight="1" thickBot="1">
      <c r="A1" s="1200" t="s">
        <v>3151</v>
      </c>
    </row>
    <row r="2" spans="1:10" ht="25.2" customHeight="1">
      <c r="A2" s="1587" t="s">
        <v>1960</v>
      </c>
      <c r="B2" s="1593" t="s">
        <v>378</v>
      </c>
      <c r="C2" s="1593" t="s">
        <v>3152</v>
      </c>
      <c r="D2" s="1593" t="s">
        <v>3153</v>
      </c>
      <c r="E2" s="1593" t="s">
        <v>3154</v>
      </c>
      <c r="F2" s="1593" t="s">
        <v>3155</v>
      </c>
      <c r="G2" s="1593" t="s">
        <v>3156</v>
      </c>
      <c r="H2" s="1593" t="s">
        <v>3157</v>
      </c>
      <c r="I2" s="1593" t="s">
        <v>3158</v>
      </c>
      <c r="J2" s="1586" t="s">
        <v>3159</v>
      </c>
    </row>
    <row r="3" spans="1:10" ht="25.2" customHeight="1">
      <c r="A3" s="1401" t="s">
        <v>79</v>
      </c>
      <c r="B3" s="1749">
        <v>163</v>
      </c>
      <c r="C3" s="1749">
        <v>130</v>
      </c>
      <c r="D3" s="1749">
        <v>24</v>
      </c>
      <c r="E3" s="1750" t="s">
        <v>431</v>
      </c>
      <c r="F3" s="1750" t="s">
        <v>431</v>
      </c>
      <c r="G3" s="1750" t="s">
        <v>431</v>
      </c>
      <c r="H3" s="1750" t="s">
        <v>431</v>
      </c>
      <c r="I3" s="1750">
        <v>1</v>
      </c>
      <c r="J3" s="1751">
        <v>8</v>
      </c>
    </row>
    <row r="4" spans="1:10" ht="25.2" customHeight="1">
      <c r="A4" s="1401">
        <v>2</v>
      </c>
      <c r="B4" s="1749">
        <v>122</v>
      </c>
      <c r="C4" s="1749">
        <v>96</v>
      </c>
      <c r="D4" s="1749">
        <v>13</v>
      </c>
      <c r="E4" s="1750" t="s">
        <v>431</v>
      </c>
      <c r="F4" s="1750" t="s">
        <v>431</v>
      </c>
      <c r="G4" s="1750" t="s">
        <v>431</v>
      </c>
      <c r="H4" s="1750" t="s">
        <v>431</v>
      </c>
      <c r="I4" s="1750" t="s">
        <v>431</v>
      </c>
      <c r="J4" s="1751">
        <v>13</v>
      </c>
    </row>
    <row r="5" spans="1:10" ht="25.2" customHeight="1">
      <c r="A5" s="1401">
        <v>3</v>
      </c>
      <c r="B5" s="1749">
        <v>122</v>
      </c>
      <c r="C5" s="1749">
        <v>97</v>
      </c>
      <c r="D5" s="1749">
        <v>14</v>
      </c>
      <c r="E5" s="1750" t="s">
        <v>431</v>
      </c>
      <c r="F5" s="1750" t="s">
        <v>431</v>
      </c>
      <c r="G5" s="1750" t="s">
        <v>431</v>
      </c>
      <c r="H5" s="1750" t="s">
        <v>431</v>
      </c>
      <c r="I5" s="1750" t="s">
        <v>431</v>
      </c>
      <c r="J5" s="1751">
        <v>11</v>
      </c>
    </row>
    <row r="6" spans="1:10" ht="25.2" customHeight="1">
      <c r="A6" s="1401">
        <v>4</v>
      </c>
      <c r="B6" s="1749">
        <v>116</v>
      </c>
      <c r="C6" s="1749">
        <v>93</v>
      </c>
      <c r="D6" s="1749">
        <v>21</v>
      </c>
      <c r="E6" s="1750" t="s">
        <v>431</v>
      </c>
      <c r="F6" s="1750" t="s">
        <v>431</v>
      </c>
      <c r="G6" s="1750" t="s">
        <v>431</v>
      </c>
      <c r="H6" s="1750" t="s">
        <v>431</v>
      </c>
      <c r="I6" s="1750" t="s">
        <v>431</v>
      </c>
      <c r="J6" s="1752" t="s">
        <v>431</v>
      </c>
    </row>
    <row r="7" spans="1:10" ht="25.2" customHeight="1" thickBot="1">
      <c r="A7" s="1401">
        <v>5</v>
      </c>
      <c r="B7" s="1749">
        <v>100</v>
      </c>
      <c r="C7" s="1749">
        <v>85</v>
      </c>
      <c r="D7" s="1749">
        <v>8</v>
      </c>
      <c r="E7" s="1750" t="s">
        <v>431</v>
      </c>
      <c r="F7" s="1750" t="s">
        <v>431</v>
      </c>
      <c r="G7" s="1750" t="s">
        <v>431</v>
      </c>
      <c r="H7" s="1750" t="s">
        <v>431</v>
      </c>
      <c r="I7" s="1750">
        <v>4</v>
      </c>
      <c r="J7" s="1751">
        <v>3</v>
      </c>
    </row>
    <row r="8" spans="1:10" ht="16.2" customHeight="1">
      <c r="A8" s="2671" t="s">
        <v>3160</v>
      </c>
      <c r="B8" s="2671"/>
      <c r="C8" s="2671"/>
      <c r="D8" s="2672"/>
      <c r="E8" s="2672"/>
      <c r="F8" s="2672"/>
      <c r="G8" s="2672"/>
      <c r="H8" s="2672"/>
      <c r="I8" s="2672"/>
      <c r="J8" s="2672"/>
    </row>
    <row r="9" spans="1:10" ht="16.2" customHeight="1">
      <c r="A9" s="1201" t="s">
        <v>3161</v>
      </c>
      <c r="B9" s="1201"/>
      <c r="C9" s="1201"/>
      <c r="D9" s="1201"/>
    </row>
    <row r="10" spans="1:10" ht="16.2" customHeight="1">
      <c r="A10" s="1201" t="s">
        <v>3162</v>
      </c>
    </row>
  </sheetData>
  <mergeCells count="2">
    <mergeCell ref="A8:C8"/>
    <mergeCell ref="D8:J8"/>
  </mergeCells>
  <phoneticPr fontId="4"/>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3657-E95A-446E-913B-D14D7ED60230}">
  <sheetPr codeName="Sheet128"/>
  <dimension ref="A1:S46"/>
  <sheetViews>
    <sheetView zoomScaleNormal="100" workbookViewId="0"/>
  </sheetViews>
  <sheetFormatPr defaultColWidth="8.09765625" defaultRowHeight="13.2"/>
  <cols>
    <col min="1" max="1" width="5.3984375" style="2847" customWidth="1"/>
    <col min="2" max="2" width="5.3984375" style="2847" bestFit="1" customWidth="1"/>
    <col min="3" max="3" width="31.3984375" style="2847" customWidth="1"/>
    <col min="4" max="4" width="7" style="2913" customWidth="1"/>
    <col min="5" max="5" width="2.69921875" style="2847" bestFit="1" customWidth="1"/>
    <col min="6" max="6" width="4" style="2847" bestFit="1" customWidth="1"/>
    <col min="7" max="12" width="2.3984375" style="2847" customWidth="1"/>
    <col min="13" max="13" width="4" style="2847" bestFit="1" customWidth="1"/>
    <col min="14" max="19" width="2.3984375" style="2847" customWidth="1"/>
    <col min="20" max="16384" width="8.09765625" style="2847"/>
  </cols>
  <sheetData>
    <row r="1" spans="1:19" ht="30" customHeight="1" thickBot="1">
      <c r="A1" s="2145" t="s">
        <v>3163</v>
      </c>
      <c r="D1" s="2848"/>
    </row>
    <row r="2" spans="1:19" s="2853" customFormat="1" ht="12" customHeight="1">
      <c r="A2" s="2849" t="s">
        <v>3164</v>
      </c>
      <c r="B2" s="2850"/>
      <c r="C2" s="2851" t="s">
        <v>3165</v>
      </c>
      <c r="D2" s="2852"/>
      <c r="E2" s="2852"/>
      <c r="F2" s="2852"/>
      <c r="G2" s="2852"/>
      <c r="H2" s="2852"/>
      <c r="I2" s="2852"/>
      <c r="J2" s="2852"/>
      <c r="K2" s="2852"/>
      <c r="L2" s="2852"/>
      <c r="M2" s="2852"/>
      <c r="N2" s="2852"/>
      <c r="O2" s="2852"/>
      <c r="P2" s="2852"/>
      <c r="Q2" s="2852"/>
      <c r="R2" s="2852"/>
      <c r="S2" s="2852"/>
    </row>
    <row r="3" spans="1:19" s="2853" customFormat="1" ht="12" customHeight="1">
      <c r="A3" s="2854"/>
      <c r="B3" s="2855"/>
      <c r="C3" s="2856" t="s">
        <v>3166</v>
      </c>
      <c r="D3" s="2857" t="s">
        <v>3167</v>
      </c>
      <c r="E3" s="2858"/>
      <c r="F3" s="2857" t="s">
        <v>3168</v>
      </c>
      <c r="G3" s="2859"/>
      <c r="H3" s="2859"/>
      <c r="I3" s="2859"/>
      <c r="J3" s="2859"/>
      <c r="K3" s="2859"/>
      <c r="L3" s="2859"/>
      <c r="M3" s="2857" t="s">
        <v>3169</v>
      </c>
      <c r="N3" s="2859"/>
      <c r="O3" s="2859"/>
      <c r="P3" s="2859"/>
      <c r="Q3" s="2859"/>
      <c r="R3" s="2859"/>
      <c r="S3" s="2859"/>
    </row>
    <row r="4" spans="1:19" s="2853" customFormat="1" ht="19.2" customHeight="1">
      <c r="A4" s="2860" t="s">
        <v>3170</v>
      </c>
      <c r="B4" s="2861"/>
      <c r="C4" s="2862" t="s">
        <v>3171</v>
      </c>
      <c r="D4" s="2863">
        <v>3</v>
      </c>
      <c r="E4" s="2864" t="s">
        <v>1769</v>
      </c>
      <c r="F4" s="2865" t="s">
        <v>3172</v>
      </c>
      <c r="G4" s="2853">
        <v>48</v>
      </c>
      <c r="H4" s="2853" t="s">
        <v>349</v>
      </c>
      <c r="I4" s="2853">
        <v>3</v>
      </c>
      <c r="J4" s="2853" t="s">
        <v>3173</v>
      </c>
      <c r="K4" s="2853">
        <v>5</v>
      </c>
      <c r="L4" s="2853" t="s">
        <v>64</v>
      </c>
      <c r="M4" s="2865" t="s">
        <v>3172</v>
      </c>
      <c r="N4" s="2853">
        <v>43</v>
      </c>
      <c r="O4" s="2853" t="s">
        <v>349</v>
      </c>
      <c r="P4" s="2853">
        <v>9</v>
      </c>
      <c r="Q4" s="2853" t="s">
        <v>3173</v>
      </c>
      <c r="R4" s="2853">
        <v>16</v>
      </c>
      <c r="S4" s="2853" t="s">
        <v>64</v>
      </c>
    </row>
    <row r="5" spans="1:19" s="2853" customFormat="1" ht="19.2" customHeight="1">
      <c r="A5" s="2866"/>
      <c r="B5" s="2867"/>
      <c r="C5" s="2868" t="s">
        <v>3174</v>
      </c>
      <c r="D5" s="2869">
        <v>3.1</v>
      </c>
      <c r="E5" s="1754"/>
      <c r="F5" s="2870" t="s">
        <v>589</v>
      </c>
      <c r="G5" s="2853">
        <v>1</v>
      </c>
      <c r="H5" s="2853" t="s">
        <v>2407</v>
      </c>
      <c r="I5" s="2853">
        <v>3</v>
      </c>
      <c r="J5" s="2853" t="s">
        <v>2407</v>
      </c>
      <c r="K5" s="2853">
        <v>20</v>
      </c>
      <c r="M5" s="2870"/>
      <c r="N5" s="2853">
        <v>62</v>
      </c>
      <c r="O5" s="2853" t="s">
        <v>2407</v>
      </c>
      <c r="P5" s="2853">
        <v>2</v>
      </c>
      <c r="Q5" s="2853" t="s">
        <v>2407</v>
      </c>
      <c r="R5" s="2853">
        <v>26</v>
      </c>
    </row>
    <row r="6" spans="1:19" s="2853" customFormat="1" ht="19.2" customHeight="1">
      <c r="A6" s="2866"/>
      <c r="B6" s="2867"/>
      <c r="C6" s="2868" t="s">
        <v>3175</v>
      </c>
      <c r="D6" s="2869">
        <v>4.5999999999999996</v>
      </c>
      <c r="E6" s="1754"/>
      <c r="F6" s="2870"/>
      <c r="G6" s="2853">
        <v>13</v>
      </c>
      <c r="H6" s="2853" t="s">
        <v>2407</v>
      </c>
      <c r="I6" s="2853">
        <v>2</v>
      </c>
      <c r="J6" s="2853" t="s">
        <v>2407</v>
      </c>
      <c r="K6" s="2853">
        <v>9</v>
      </c>
      <c r="M6" s="2870"/>
      <c r="N6" s="2853">
        <v>59</v>
      </c>
      <c r="O6" s="2853" t="s">
        <v>2407</v>
      </c>
      <c r="P6" s="2853">
        <v>7</v>
      </c>
      <c r="Q6" s="2853" t="s">
        <v>2407</v>
      </c>
      <c r="R6" s="2853">
        <v>2</v>
      </c>
    </row>
    <row r="7" spans="1:19" s="2853" customFormat="1" ht="19.2" customHeight="1">
      <c r="A7" s="2866"/>
      <c r="B7" s="2867"/>
      <c r="C7" s="2868" t="s">
        <v>3176</v>
      </c>
      <c r="D7" s="2869">
        <v>18.899999999999999</v>
      </c>
      <c r="E7" s="1754"/>
      <c r="F7" s="2870"/>
      <c r="G7" s="2853">
        <v>11</v>
      </c>
      <c r="H7" s="2853" t="s">
        <v>2407</v>
      </c>
      <c r="I7" s="2853">
        <v>6</v>
      </c>
      <c r="J7" s="2853" t="s">
        <v>2407</v>
      </c>
      <c r="K7" s="2853">
        <v>28</v>
      </c>
      <c r="M7" s="2870"/>
      <c r="N7" s="2853">
        <v>48</v>
      </c>
      <c r="O7" s="2853" t="s">
        <v>2407</v>
      </c>
      <c r="P7" s="2853">
        <v>3</v>
      </c>
      <c r="Q7" s="2853" t="s">
        <v>2407</v>
      </c>
      <c r="R7" s="2853">
        <v>5</v>
      </c>
    </row>
    <row r="8" spans="1:19" s="2853" customFormat="1" ht="19.2" customHeight="1">
      <c r="A8" s="2866"/>
      <c r="B8" s="2867"/>
      <c r="C8" s="2868" t="s">
        <v>3177</v>
      </c>
      <c r="D8" s="2869">
        <v>3.4</v>
      </c>
      <c r="E8" s="1754"/>
      <c r="F8" s="2870" t="s">
        <v>3172</v>
      </c>
      <c r="G8" s="2853">
        <v>59</v>
      </c>
      <c r="H8" s="2853" t="s">
        <v>2407</v>
      </c>
      <c r="I8" s="2853">
        <v>7</v>
      </c>
      <c r="J8" s="2853" t="s">
        <v>2407</v>
      </c>
      <c r="K8" s="2853">
        <v>2</v>
      </c>
      <c r="M8" s="2870"/>
      <c r="N8" s="2853">
        <v>59</v>
      </c>
      <c r="O8" s="2853" t="s">
        <v>2407</v>
      </c>
      <c r="P8" s="2853">
        <v>7</v>
      </c>
      <c r="Q8" s="2853" t="s">
        <v>2407</v>
      </c>
      <c r="R8" s="2853">
        <v>2</v>
      </c>
    </row>
    <row r="9" spans="1:19" s="2853" customFormat="1" ht="19.2" customHeight="1">
      <c r="A9" s="2866"/>
      <c r="B9" s="2867"/>
      <c r="C9" s="2868" t="s">
        <v>3178</v>
      </c>
      <c r="D9" s="2869">
        <v>0.1</v>
      </c>
      <c r="E9" s="1754"/>
      <c r="F9" s="2870"/>
      <c r="G9" s="2853">
        <v>63</v>
      </c>
      <c r="H9" s="2853" t="s">
        <v>2407</v>
      </c>
      <c r="I9" s="2853">
        <v>12</v>
      </c>
      <c r="J9" s="2853" t="s">
        <v>2407</v>
      </c>
      <c r="K9" s="2853">
        <v>6</v>
      </c>
      <c r="M9" s="2870"/>
      <c r="N9" s="2853">
        <v>63</v>
      </c>
      <c r="O9" s="2853" t="s">
        <v>2407</v>
      </c>
      <c r="P9" s="2853">
        <v>12</v>
      </c>
      <c r="Q9" s="2853" t="s">
        <v>2407</v>
      </c>
      <c r="R9" s="2853">
        <v>6</v>
      </c>
    </row>
    <row r="10" spans="1:19" s="2853" customFormat="1" ht="19.2" customHeight="1">
      <c r="A10" s="2866"/>
      <c r="B10" s="2867"/>
      <c r="C10" s="2868" t="s">
        <v>3179</v>
      </c>
      <c r="D10" s="2869">
        <v>232.6</v>
      </c>
      <c r="E10" s="1754"/>
      <c r="F10" s="2870" t="s">
        <v>589</v>
      </c>
      <c r="G10" s="2853">
        <v>27</v>
      </c>
      <c r="H10" s="2853" t="s">
        <v>2408</v>
      </c>
      <c r="I10" s="2853">
        <v>3</v>
      </c>
      <c r="J10" s="2853" t="s">
        <v>2408</v>
      </c>
      <c r="K10" s="2853">
        <v>12</v>
      </c>
      <c r="M10" s="2870" t="s">
        <v>589</v>
      </c>
      <c r="N10" s="2853">
        <v>2</v>
      </c>
      <c r="O10" s="2853" t="s">
        <v>2408</v>
      </c>
      <c r="P10" s="2853">
        <v>11</v>
      </c>
      <c r="Q10" s="2853" t="s">
        <v>2408</v>
      </c>
      <c r="R10" s="2853">
        <v>19</v>
      </c>
    </row>
    <row r="11" spans="1:19" s="2853" customFormat="1" ht="19.2" customHeight="1">
      <c r="A11" s="2854"/>
      <c r="B11" s="2855"/>
      <c r="C11" s="2871" t="s">
        <v>3180</v>
      </c>
      <c r="D11" s="2872">
        <v>1.8</v>
      </c>
      <c r="E11" s="2873"/>
      <c r="F11" s="2874"/>
      <c r="G11" s="2875">
        <v>3</v>
      </c>
      <c r="H11" s="2875" t="s">
        <v>2407</v>
      </c>
      <c r="I11" s="2875">
        <v>10</v>
      </c>
      <c r="J11" s="2875" t="s">
        <v>2407</v>
      </c>
      <c r="K11" s="2875">
        <v>3</v>
      </c>
      <c r="L11" s="2875"/>
      <c r="M11" s="2874"/>
      <c r="N11" s="2875">
        <v>3</v>
      </c>
      <c r="O11" s="2875" t="s">
        <v>2407</v>
      </c>
      <c r="P11" s="2875">
        <v>10</v>
      </c>
      <c r="Q11" s="2875" t="s">
        <v>2407</v>
      </c>
      <c r="R11" s="2875">
        <v>3</v>
      </c>
      <c r="S11" s="2875"/>
    </row>
    <row r="12" spans="1:19" s="2853" customFormat="1" ht="19.2" customHeight="1">
      <c r="A12" s="2876" t="s">
        <v>3181</v>
      </c>
      <c r="B12" s="2877" t="s">
        <v>3182</v>
      </c>
      <c r="C12" s="2878" t="s">
        <v>3183</v>
      </c>
      <c r="D12" s="2863">
        <v>821</v>
      </c>
      <c r="E12" s="2879" t="s">
        <v>1769</v>
      </c>
      <c r="F12" s="2880" t="s">
        <v>589</v>
      </c>
      <c r="G12" s="2853">
        <v>26</v>
      </c>
      <c r="H12" s="2853" t="s">
        <v>2407</v>
      </c>
      <c r="I12" s="2853">
        <v>7</v>
      </c>
      <c r="J12" s="2853" t="s">
        <v>2407</v>
      </c>
      <c r="K12" s="2853">
        <v>2</v>
      </c>
      <c r="M12" s="2880" t="s">
        <v>589</v>
      </c>
      <c r="N12" s="2853">
        <v>2</v>
      </c>
      <c r="O12" s="2853" t="s">
        <v>2407</v>
      </c>
      <c r="P12" s="2853">
        <v>12</v>
      </c>
      <c r="Q12" s="2853" t="s">
        <v>2407</v>
      </c>
      <c r="R12" s="2853">
        <v>17</v>
      </c>
      <c r="S12" s="2881"/>
    </row>
    <row r="13" spans="1:19" s="2853" customFormat="1" ht="19.2" customHeight="1">
      <c r="A13" s="2882"/>
      <c r="B13" s="2883"/>
      <c r="C13" s="2884" t="s">
        <v>3184</v>
      </c>
      <c r="D13" s="2885">
        <v>422</v>
      </c>
      <c r="E13" s="2886"/>
      <c r="F13" s="2870"/>
      <c r="G13" s="2853">
        <v>18</v>
      </c>
      <c r="H13" s="2853" t="s">
        <v>2407</v>
      </c>
      <c r="I13" s="2853">
        <v>3</v>
      </c>
      <c r="J13" s="2853" t="s">
        <v>2407</v>
      </c>
      <c r="K13" s="2853">
        <v>27</v>
      </c>
      <c r="M13" s="2870"/>
      <c r="N13" s="2853">
        <v>6</v>
      </c>
      <c r="O13" s="2853" t="s">
        <v>2407</v>
      </c>
      <c r="P13" s="2853">
        <v>12</v>
      </c>
      <c r="Q13" s="2853" t="s">
        <v>2407</v>
      </c>
      <c r="R13" s="2853">
        <v>15</v>
      </c>
    </row>
    <row r="14" spans="1:19" s="2853" customFormat="1" ht="19.2" customHeight="1">
      <c r="A14" s="2882"/>
      <c r="B14" s="2887"/>
      <c r="C14" s="2884" t="s">
        <v>3185</v>
      </c>
      <c r="D14" s="2885">
        <v>40.200000000000003</v>
      </c>
      <c r="E14" s="2888"/>
      <c r="F14" s="2870"/>
      <c r="G14" s="2875">
        <v>22</v>
      </c>
      <c r="H14" s="2875" t="s">
        <v>2407</v>
      </c>
      <c r="I14" s="2875">
        <v>3</v>
      </c>
      <c r="J14" s="2875" t="s">
        <v>2407</v>
      </c>
      <c r="K14" s="2875">
        <v>17</v>
      </c>
      <c r="L14" s="2875"/>
      <c r="M14" s="2874"/>
      <c r="N14" s="2875">
        <v>22</v>
      </c>
      <c r="O14" s="2875" t="s">
        <v>2407</v>
      </c>
      <c r="P14" s="2875">
        <v>3</v>
      </c>
      <c r="Q14" s="2875" t="s">
        <v>2407</v>
      </c>
      <c r="R14" s="2875">
        <v>17</v>
      </c>
      <c r="S14" s="2875"/>
    </row>
    <row r="15" spans="1:19" s="2853" customFormat="1" ht="19.2" customHeight="1">
      <c r="A15" s="2889"/>
      <c r="B15" s="2890" t="s">
        <v>3186</v>
      </c>
      <c r="C15" s="2891" t="s">
        <v>3187</v>
      </c>
      <c r="D15" s="2892">
        <v>447</v>
      </c>
      <c r="E15" s="2893" t="s">
        <v>1769</v>
      </c>
      <c r="F15" s="2894" t="s">
        <v>589</v>
      </c>
      <c r="G15" s="2895">
        <v>25</v>
      </c>
      <c r="H15" s="2895" t="s">
        <v>2407</v>
      </c>
      <c r="I15" s="2895">
        <v>12</v>
      </c>
      <c r="J15" s="2895" t="s">
        <v>2407</v>
      </c>
      <c r="K15" s="2895">
        <v>24</v>
      </c>
      <c r="L15" s="2895"/>
      <c r="M15" s="2894" t="s">
        <v>589</v>
      </c>
      <c r="N15" s="2895">
        <v>25</v>
      </c>
      <c r="O15" s="2895" t="s">
        <v>2407</v>
      </c>
      <c r="P15" s="2895">
        <v>12</v>
      </c>
      <c r="Q15" s="2895" t="s">
        <v>2407</v>
      </c>
      <c r="R15" s="2895">
        <v>24</v>
      </c>
      <c r="S15" s="2895"/>
    </row>
    <row r="16" spans="1:19" s="2853" customFormat="1" ht="19.2" customHeight="1">
      <c r="A16" s="2896" t="s">
        <v>3188</v>
      </c>
      <c r="B16" s="2897"/>
      <c r="C16" s="2878" t="s">
        <v>3189</v>
      </c>
      <c r="D16" s="2898">
        <v>1080</v>
      </c>
      <c r="E16" s="2879" t="s">
        <v>3093</v>
      </c>
      <c r="F16" s="2880" t="s">
        <v>589</v>
      </c>
      <c r="G16" s="2853">
        <v>13</v>
      </c>
      <c r="H16" s="2853" t="s">
        <v>2407</v>
      </c>
      <c r="I16" s="2853">
        <v>3</v>
      </c>
      <c r="J16" s="2853" t="s">
        <v>2407</v>
      </c>
      <c r="K16" s="2853">
        <v>1</v>
      </c>
      <c r="M16" s="2880" t="s">
        <v>3172</v>
      </c>
      <c r="N16" s="2853">
        <v>38</v>
      </c>
      <c r="O16" s="2853" t="s">
        <v>2407</v>
      </c>
      <c r="P16" s="2853">
        <v>10</v>
      </c>
      <c r="Q16" s="2853" t="s">
        <v>2407</v>
      </c>
      <c r="R16" s="2853">
        <v>18</v>
      </c>
    </row>
    <row r="17" spans="1:19" s="2853" customFormat="1" ht="19.2" customHeight="1">
      <c r="A17" s="2899"/>
      <c r="B17" s="2900"/>
      <c r="C17" s="2884" t="s">
        <v>3190</v>
      </c>
      <c r="D17" s="2128">
        <v>4440</v>
      </c>
      <c r="E17" s="2888"/>
      <c r="F17" s="2870"/>
      <c r="G17" s="2853">
        <v>13</v>
      </c>
      <c r="H17" s="2853" t="s">
        <v>2407</v>
      </c>
      <c r="I17" s="2853">
        <v>3</v>
      </c>
      <c r="J17" s="2853" t="s">
        <v>2407</v>
      </c>
      <c r="K17" s="2853">
        <v>1</v>
      </c>
      <c r="M17" s="2870"/>
      <c r="N17" s="2853">
        <v>26</v>
      </c>
      <c r="O17" s="2853" t="s">
        <v>2407</v>
      </c>
      <c r="P17" s="2853">
        <v>6</v>
      </c>
      <c r="Q17" s="2853" t="s">
        <v>2407</v>
      </c>
      <c r="R17" s="2853">
        <v>30</v>
      </c>
    </row>
    <row r="18" spans="1:19" s="2853" customFormat="1" ht="19.2" customHeight="1">
      <c r="A18" s="2899"/>
      <c r="B18" s="2900"/>
      <c r="C18" s="2884" t="s">
        <v>3191</v>
      </c>
      <c r="D18" s="2128">
        <v>4670</v>
      </c>
      <c r="E18" s="2888"/>
      <c r="F18" s="2870"/>
      <c r="G18" s="2853">
        <v>21</v>
      </c>
      <c r="H18" s="2853" t="s">
        <v>2407</v>
      </c>
      <c r="I18" s="2853">
        <v>12</v>
      </c>
      <c r="J18" s="2853" t="s">
        <v>2407</v>
      </c>
      <c r="K18" s="2853">
        <v>17</v>
      </c>
      <c r="M18" s="2870"/>
      <c r="N18" s="2853">
        <v>26</v>
      </c>
      <c r="O18" s="2853" t="s">
        <v>2407</v>
      </c>
      <c r="P18" s="2853">
        <v>6</v>
      </c>
      <c r="Q18" s="2853" t="s">
        <v>2407</v>
      </c>
      <c r="R18" s="2853">
        <v>30</v>
      </c>
    </row>
    <row r="19" spans="1:19" s="2853" customFormat="1" ht="19.2" customHeight="1">
      <c r="A19" s="2899"/>
      <c r="B19" s="2900"/>
      <c r="C19" s="2884" t="s">
        <v>3192</v>
      </c>
      <c r="D19" s="2128">
        <v>1130</v>
      </c>
      <c r="E19" s="2888"/>
      <c r="F19" s="2870"/>
      <c r="G19" s="2853">
        <v>21</v>
      </c>
      <c r="H19" s="2853" t="s">
        <v>2407</v>
      </c>
      <c r="I19" s="2853">
        <v>12</v>
      </c>
      <c r="J19" s="2853" t="s">
        <v>2407</v>
      </c>
      <c r="K19" s="2853">
        <v>17</v>
      </c>
      <c r="M19" s="2870"/>
      <c r="N19" s="2853">
        <v>26</v>
      </c>
      <c r="O19" s="2853" t="s">
        <v>2407</v>
      </c>
      <c r="P19" s="2853">
        <v>6</v>
      </c>
      <c r="Q19" s="2853" t="s">
        <v>2407</v>
      </c>
      <c r="R19" s="2853">
        <v>30</v>
      </c>
    </row>
    <row r="20" spans="1:19" s="2853" customFormat="1" ht="19.2" customHeight="1">
      <c r="A20" s="2899"/>
      <c r="B20" s="2900"/>
      <c r="C20" s="2884" t="s">
        <v>3193</v>
      </c>
      <c r="D20" s="2128">
        <v>2200</v>
      </c>
      <c r="E20" s="2888"/>
      <c r="F20" s="2870"/>
      <c r="G20" s="2853">
        <v>21</v>
      </c>
      <c r="H20" s="2853" t="s">
        <v>2407</v>
      </c>
      <c r="I20" s="2853">
        <v>12</v>
      </c>
      <c r="J20" s="2853" t="s">
        <v>2407</v>
      </c>
      <c r="K20" s="2853">
        <v>17</v>
      </c>
      <c r="M20" s="2870"/>
      <c r="N20" s="2853">
        <v>38</v>
      </c>
      <c r="O20" s="2853" t="s">
        <v>2407</v>
      </c>
      <c r="P20" s="2853">
        <v>10</v>
      </c>
      <c r="Q20" s="2853" t="s">
        <v>2407</v>
      </c>
      <c r="R20" s="2853">
        <v>18</v>
      </c>
    </row>
    <row r="21" spans="1:19" s="2853" customFormat="1" ht="19.2" customHeight="1">
      <c r="A21" s="2899"/>
      <c r="B21" s="2900"/>
      <c r="C21" s="2884" t="s">
        <v>3194</v>
      </c>
      <c r="D21" s="2128">
        <v>3170</v>
      </c>
      <c r="E21" s="2888"/>
      <c r="F21" s="2870"/>
      <c r="G21" s="2853">
        <v>13</v>
      </c>
      <c r="H21" s="2853" t="s">
        <v>2407</v>
      </c>
      <c r="I21" s="2853">
        <v>3</v>
      </c>
      <c r="J21" s="2853" t="s">
        <v>2407</v>
      </c>
      <c r="K21" s="2853">
        <v>1</v>
      </c>
      <c r="M21" s="2870"/>
      <c r="N21" s="2853">
        <v>26</v>
      </c>
      <c r="O21" s="2853" t="s">
        <v>2407</v>
      </c>
      <c r="P21" s="2853">
        <v>6</v>
      </c>
      <c r="Q21" s="2853" t="s">
        <v>2407</v>
      </c>
      <c r="R21" s="2853">
        <v>30</v>
      </c>
    </row>
    <row r="22" spans="1:19" s="2853" customFormat="1" ht="19.2" customHeight="1">
      <c r="A22" s="2899"/>
      <c r="B22" s="2900"/>
      <c r="C22" s="2884" t="s">
        <v>3195</v>
      </c>
      <c r="D22" s="2128">
        <v>4540</v>
      </c>
      <c r="E22" s="2888"/>
      <c r="F22" s="2870"/>
      <c r="G22" s="2853">
        <v>23</v>
      </c>
      <c r="H22" s="2853" t="s">
        <v>2408</v>
      </c>
      <c r="I22" s="2853">
        <v>3</v>
      </c>
      <c r="J22" s="2853" t="s">
        <v>2408</v>
      </c>
      <c r="K22" s="2853">
        <v>3</v>
      </c>
      <c r="M22" s="2870"/>
      <c r="N22" s="2853">
        <v>38</v>
      </c>
      <c r="O22" s="2853" t="s">
        <v>2408</v>
      </c>
      <c r="P22" s="2853">
        <v>10</v>
      </c>
      <c r="Q22" s="2853" t="s">
        <v>2408</v>
      </c>
      <c r="R22" s="2853">
        <v>18</v>
      </c>
    </row>
    <row r="23" spans="1:19" s="2853" customFormat="1" ht="19.2" customHeight="1">
      <c r="A23" s="2899"/>
      <c r="B23" s="2900"/>
      <c r="C23" s="2884" t="s">
        <v>3196</v>
      </c>
      <c r="D23" s="2128">
        <v>2950</v>
      </c>
      <c r="E23" s="2888"/>
      <c r="F23" s="2870"/>
      <c r="G23" s="2853">
        <v>21</v>
      </c>
      <c r="H23" s="2853" t="s">
        <v>2407</v>
      </c>
      <c r="I23" s="2853">
        <v>12</v>
      </c>
      <c r="J23" s="2853" t="s">
        <v>2407</v>
      </c>
      <c r="K23" s="2853">
        <v>17</v>
      </c>
      <c r="M23" s="2870"/>
      <c r="N23" s="2853">
        <v>26</v>
      </c>
      <c r="O23" s="2853" t="s">
        <v>2407</v>
      </c>
      <c r="P23" s="2853">
        <v>6</v>
      </c>
      <c r="Q23" s="2853" t="s">
        <v>2407</v>
      </c>
      <c r="R23" s="2853">
        <v>30</v>
      </c>
    </row>
    <row r="24" spans="1:19" s="2853" customFormat="1" ht="19.2" customHeight="1">
      <c r="A24" s="2899"/>
      <c r="B24" s="2900"/>
      <c r="C24" s="2884" t="s">
        <v>3197</v>
      </c>
      <c r="D24" s="2128">
        <v>2140</v>
      </c>
      <c r="E24" s="2888"/>
      <c r="F24" s="2870"/>
      <c r="G24" s="2853">
        <v>13</v>
      </c>
      <c r="H24" s="2853" t="s">
        <v>2407</v>
      </c>
      <c r="I24" s="2853">
        <v>3</v>
      </c>
      <c r="J24" s="2853" t="s">
        <v>2407</v>
      </c>
      <c r="K24" s="2853">
        <v>1</v>
      </c>
      <c r="M24" s="2870"/>
      <c r="N24" s="2853">
        <v>26</v>
      </c>
      <c r="O24" s="2853" t="s">
        <v>2407</v>
      </c>
      <c r="P24" s="2853">
        <v>6</v>
      </c>
      <c r="Q24" s="2853" t="s">
        <v>2407</v>
      </c>
      <c r="R24" s="2853">
        <v>30</v>
      </c>
    </row>
    <row r="25" spans="1:19" s="2853" customFormat="1" ht="19.2" customHeight="1">
      <c r="A25" s="2899"/>
      <c r="B25" s="2900"/>
      <c r="C25" s="2884" t="s">
        <v>3198</v>
      </c>
      <c r="D25" s="2128">
        <v>2050</v>
      </c>
      <c r="E25" s="2888"/>
      <c r="F25" s="2870"/>
      <c r="G25" s="2853">
        <v>13</v>
      </c>
      <c r="H25" s="2853" t="s">
        <v>2407</v>
      </c>
      <c r="I25" s="2853">
        <v>3</v>
      </c>
      <c r="J25" s="2853" t="s">
        <v>2407</v>
      </c>
      <c r="K25" s="2853">
        <v>1</v>
      </c>
      <c r="M25" s="2870" t="s">
        <v>589</v>
      </c>
      <c r="N25" s="2853">
        <v>9</v>
      </c>
      <c r="O25" s="2853" t="s">
        <v>2407</v>
      </c>
      <c r="P25" s="2853">
        <v>3</v>
      </c>
      <c r="Q25" s="2853" t="s">
        <v>2407</v>
      </c>
      <c r="R25" s="2853">
        <v>6</v>
      </c>
    </row>
    <row r="26" spans="1:19" s="2853" customFormat="1" ht="19.2" customHeight="1">
      <c r="A26" s="2899"/>
      <c r="B26" s="2900"/>
      <c r="C26" s="2901" t="s">
        <v>3199</v>
      </c>
      <c r="D26" s="2902">
        <v>3500</v>
      </c>
      <c r="E26" s="2903" t="s">
        <v>1471</v>
      </c>
      <c r="F26" s="2874"/>
      <c r="G26" s="2853">
        <v>13</v>
      </c>
      <c r="H26" s="2853" t="s">
        <v>2407</v>
      </c>
      <c r="I26" s="2853">
        <v>3</v>
      </c>
      <c r="J26" s="2853" t="s">
        <v>2407</v>
      </c>
      <c r="K26" s="2853">
        <v>1</v>
      </c>
      <c r="M26" s="2874" t="s">
        <v>3172</v>
      </c>
      <c r="N26" s="2853">
        <v>26</v>
      </c>
      <c r="O26" s="2853" t="s">
        <v>2407</v>
      </c>
      <c r="P26" s="2853">
        <v>6</v>
      </c>
      <c r="Q26" s="2853" t="s">
        <v>2407</v>
      </c>
      <c r="R26" s="2853">
        <v>30</v>
      </c>
    </row>
    <row r="27" spans="1:19" s="2853" customFormat="1" ht="19.2" customHeight="1">
      <c r="A27" s="2859" t="s">
        <v>3200</v>
      </c>
      <c r="B27" s="2858"/>
      <c r="C27" s="2891" t="s">
        <v>3201</v>
      </c>
      <c r="D27" s="2904">
        <v>0.28000000000000003</v>
      </c>
      <c r="E27" s="2893" t="s">
        <v>1769</v>
      </c>
      <c r="F27" s="2894" t="s">
        <v>3172</v>
      </c>
      <c r="G27" s="2895">
        <v>55</v>
      </c>
      <c r="H27" s="2895" t="s">
        <v>2407</v>
      </c>
      <c r="I27" s="2895">
        <v>3</v>
      </c>
      <c r="J27" s="2895" t="s">
        <v>2407</v>
      </c>
      <c r="K27" s="2895">
        <v>1</v>
      </c>
      <c r="L27" s="2895"/>
      <c r="M27" s="2894" t="s">
        <v>3172</v>
      </c>
      <c r="N27" s="2895">
        <v>55</v>
      </c>
      <c r="O27" s="2895" t="s">
        <v>2407</v>
      </c>
      <c r="P27" s="2895">
        <v>3</v>
      </c>
      <c r="Q27" s="2895" t="s">
        <v>2407</v>
      </c>
      <c r="R27" s="2895">
        <v>1</v>
      </c>
      <c r="S27" s="2895"/>
    </row>
    <row r="28" spans="1:19" s="2853" customFormat="1" ht="25.2" customHeight="1" thickBot="1">
      <c r="A28" s="2905" t="s">
        <v>3202</v>
      </c>
      <c r="B28" s="2905"/>
      <c r="C28" s="2906" t="s">
        <v>3203</v>
      </c>
      <c r="D28" s="2907">
        <v>1.73</v>
      </c>
      <c r="E28" s="2908"/>
      <c r="F28" s="2909" t="s">
        <v>589</v>
      </c>
      <c r="G28" s="2910">
        <v>7</v>
      </c>
      <c r="H28" s="2910" t="s">
        <v>2407</v>
      </c>
      <c r="I28" s="2910">
        <v>1</v>
      </c>
      <c r="J28" s="2910" t="s">
        <v>2407</v>
      </c>
      <c r="K28" s="2910">
        <v>26</v>
      </c>
      <c r="L28" s="2911"/>
      <c r="M28" s="2909" t="s">
        <v>589</v>
      </c>
      <c r="N28" s="2910">
        <v>6</v>
      </c>
      <c r="O28" s="2910" t="s">
        <v>2407</v>
      </c>
      <c r="P28" s="2910">
        <v>12</v>
      </c>
      <c r="Q28" s="2910" t="s">
        <v>2407</v>
      </c>
      <c r="R28" s="2910">
        <v>12</v>
      </c>
      <c r="S28" s="2910"/>
    </row>
    <row r="29" spans="1:19" s="2853" customFormat="1" ht="16.8" customHeight="1">
      <c r="A29" s="2853" t="s">
        <v>3204</v>
      </c>
      <c r="D29" s="2912"/>
    </row>
    <row r="30" spans="1:19" s="2853" customFormat="1" ht="10.8">
      <c r="D30" s="2912"/>
    </row>
    <row r="31" spans="1:19" s="2853" customFormat="1" ht="10.8">
      <c r="D31" s="2912"/>
    </row>
    <row r="32" spans="1:19" s="2853" customFormat="1" ht="10.8">
      <c r="D32" s="2912"/>
    </row>
    <row r="33" spans="1:19" s="2853" customFormat="1" ht="10.8">
      <c r="D33" s="2912"/>
    </row>
    <row r="34" spans="1:19" s="2853" customFormat="1" ht="10.8">
      <c r="D34" s="2912"/>
    </row>
    <row r="35" spans="1:19" s="2853" customFormat="1" ht="10.8">
      <c r="D35" s="2912"/>
    </row>
    <row r="36" spans="1:19" s="2853" customFormat="1" ht="10.8">
      <c r="D36" s="812"/>
    </row>
    <row r="37" spans="1:19" s="2853" customFormat="1" ht="10.8">
      <c r="D37" s="812"/>
    </row>
    <row r="38" spans="1:19" s="2853" customFormat="1" ht="10.8">
      <c r="D38" s="812"/>
    </row>
    <row r="39" spans="1:19" s="2853" customFormat="1" ht="10.8">
      <c r="D39" s="812"/>
    </row>
    <row r="40" spans="1:19" s="2853" customFormat="1" ht="10.8">
      <c r="D40" s="812"/>
    </row>
    <row r="41" spans="1:19" s="2853" customFormat="1" ht="10.8">
      <c r="D41" s="812"/>
    </row>
    <row r="42" spans="1:19" s="2853" customFormat="1" ht="10.8">
      <c r="D42" s="812"/>
    </row>
    <row r="43" spans="1:19">
      <c r="A43" s="2853"/>
      <c r="B43" s="2853"/>
      <c r="C43" s="2853"/>
      <c r="D43" s="812"/>
      <c r="E43" s="2853"/>
      <c r="F43" s="2853"/>
      <c r="G43" s="2853"/>
      <c r="H43" s="2853"/>
      <c r="I43" s="2853"/>
      <c r="J43" s="2853"/>
      <c r="K43" s="2853"/>
      <c r="L43" s="2853"/>
      <c r="M43" s="2853"/>
      <c r="N43" s="2853"/>
      <c r="O43" s="2853"/>
      <c r="P43" s="2853"/>
      <c r="Q43" s="2853"/>
      <c r="R43" s="2853"/>
      <c r="S43" s="2853"/>
    </row>
    <row r="44" spans="1:19">
      <c r="A44" s="2853"/>
      <c r="B44" s="2853"/>
      <c r="C44" s="2853"/>
      <c r="D44" s="812"/>
      <c r="E44" s="2853"/>
      <c r="F44" s="2853"/>
      <c r="G44" s="2853"/>
      <c r="H44" s="2853"/>
      <c r="I44" s="2853"/>
      <c r="J44" s="2853"/>
      <c r="K44" s="2853"/>
      <c r="L44" s="2853"/>
      <c r="M44" s="2853"/>
      <c r="N44" s="2853"/>
      <c r="O44" s="2853"/>
      <c r="P44" s="2853"/>
      <c r="Q44" s="2853"/>
      <c r="R44" s="2853"/>
      <c r="S44" s="2853"/>
    </row>
    <row r="45" spans="1:19">
      <c r="A45" s="2853"/>
      <c r="B45" s="2853"/>
    </row>
    <row r="46" spans="1:19">
      <c r="A46" s="2853"/>
      <c r="B46" s="2853"/>
    </row>
  </sheetData>
  <mergeCells count="11">
    <mergeCell ref="A12:A15"/>
    <mergeCell ref="B12:B14"/>
    <mergeCell ref="A16:B26"/>
    <mergeCell ref="A27:B27"/>
    <mergeCell ref="A28:B28"/>
    <mergeCell ref="A4:B11"/>
    <mergeCell ref="A2:B3"/>
    <mergeCell ref="C2:S2"/>
    <mergeCell ref="D3:E3"/>
    <mergeCell ref="F3:L3"/>
    <mergeCell ref="M3:S3"/>
  </mergeCells>
  <phoneticPr fontId="4"/>
  <pageMargins left="0.7" right="0.7" top="0.75" bottom="0.75" header="0.3" footer="0.3"/>
  <pageSetup paperSize="9" scale="90"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D74E8-8A5F-438B-83C0-759C02A4F723}">
  <sheetPr codeName="Sheet129"/>
  <dimension ref="A1:R22"/>
  <sheetViews>
    <sheetView zoomScaleNormal="100" workbookViewId="0"/>
  </sheetViews>
  <sheetFormatPr defaultRowHeight="10.8"/>
  <cols>
    <col min="1" max="1" width="8.796875" style="1236"/>
    <col min="2" max="7" width="12.296875" style="1756" customWidth="1"/>
    <col min="8" max="16" width="8.09765625" style="1756" customWidth="1"/>
    <col min="17" max="257" width="8.796875" style="1756"/>
    <col min="258" max="263" width="12.296875" style="1756" customWidth="1"/>
    <col min="264" max="513" width="8.796875" style="1756"/>
    <col min="514" max="519" width="12.296875" style="1756" customWidth="1"/>
    <col min="520" max="769" width="8.796875" style="1756"/>
    <col min="770" max="775" width="12.296875" style="1756" customWidth="1"/>
    <col min="776" max="1025" width="8.796875" style="1756"/>
    <col min="1026" max="1031" width="12.296875" style="1756" customWidth="1"/>
    <col min="1032" max="1281" width="8.796875" style="1756"/>
    <col min="1282" max="1287" width="12.296875" style="1756" customWidth="1"/>
    <col min="1288" max="1537" width="8.796875" style="1756"/>
    <col min="1538" max="1543" width="12.296875" style="1756" customWidth="1"/>
    <col min="1544" max="1793" width="8.796875" style="1756"/>
    <col min="1794" max="1799" width="12.296875" style="1756" customWidth="1"/>
    <col min="1800" max="2049" width="8.796875" style="1756"/>
    <col min="2050" max="2055" width="12.296875" style="1756" customWidth="1"/>
    <col min="2056" max="2305" width="8.796875" style="1756"/>
    <col min="2306" max="2311" width="12.296875" style="1756" customWidth="1"/>
    <col min="2312" max="2561" width="8.796875" style="1756"/>
    <col min="2562" max="2567" width="12.296875" style="1756" customWidth="1"/>
    <col min="2568" max="2817" width="8.796875" style="1756"/>
    <col min="2818" max="2823" width="12.296875" style="1756" customWidth="1"/>
    <col min="2824" max="3073" width="8.796875" style="1756"/>
    <col min="3074" max="3079" width="12.296875" style="1756" customWidth="1"/>
    <col min="3080" max="3329" width="8.796875" style="1756"/>
    <col min="3330" max="3335" width="12.296875" style="1756" customWidth="1"/>
    <col min="3336" max="3585" width="8.796875" style="1756"/>
    <col min="3586" max="3591" width="12.296875" style="1756" customWidth="1"/>
    <col min="3592" max="3841" width="8.796875" style="1756"/>
    <col min="3842" max="3847" width="12.296875" style="1756" customWidth="1"/>
    <col min="3848" max="4097" width="8.796875" style="1756"/>
    <col min="4098" max="4103" width="12.296875" style="1756" customWidth="1"/>
    <col min="4104" max="4353" width="8.796875" style="1756"/>
    <col min="4354" max="4359" width="12.296875" style="1756" customWidth="1"/>
    <col min="4360" max="4609" width="8.796875" style="1756"/>
    <col min="4610" max="4615" width="12.296875" style="1756" customWidth="1"/>
    <col min="4616" max="4865" width="8.796875" style="1756"/>
    <col min="4866" max="4871" width="12.296875" style="1756" customWidth="1"/>
    <col min="4872" max="5121" width="8.796875" style="1756"/>
    <col min="5122" max="5127" width="12.296875" style="1756" customWidth="1"/>
    <col min="5128" max="5377" width="8.796875" style="1756"/>
    <col min="5378" max="5383" width="12.296875" style="1756" customWidth="1"/>
    <col min="5384" max="5633" width="8.796875" style="1756"/>
    <col min="5634" max="5639" width="12.296875" style="1756" customWidth="1"/>
    <col min="5640" max="5889" width="8.796875" style="1756"/>
    <col min="5890" max="5895" width="12.296875" style="1756" customWidth="1"/>
    <col min="5896" max="6145" width="8.796875" style="1756"/>
    <col min="6146" max="6151" width="12.296875" style="1756" customWidth="1"/>
    <col min="6152" max="6401" width="8.796875" style="1756"/>
    <col min="6402" max="6407" width="12.296875" style="1756" customWidth="1"/>
    <col min="6408" max="6657" width="8.796875" style="1756"/>
    <col min="6658" max="6663" width="12.296875" style="1756" customWidth="1"/>
    <col min="6664" max="6913" width="8.796875" style="1756"/>
    <col min="6914" max="6919" width="12.296875" style="1756" customWidth="1"/>
    <col min="6920" max="7169" width="8.796875" style="1756"/>
    <col min="7170" max="7175" width="12.296875" style="1756" customWidth="1"/>
    <col min="7176" max="7425" width="8.796875" style="1756"/>
    <col min="7426" max="7431" width="12.296875" style="1756" customWidth="1"/>
    <col min="7432" max="7681" width="8.796875" style="1756"/>
    <col min="7682" max="7687" width="12.296875" style="1756" customWidth="1"/>
    <col min="7688" max="7937" width="8.796875" style="1756"/>
    <col min="7938" max="7943" width="12.296875" style="1756" customWidth="1"/>
    <col min="7944" max="8193" width="8.796875" style="1756"/>
    <col min="8194" max="8199" width="12.296875" style="1756" customWidth="1"/>
    <col min="8200" max="8449" width="8.796875" style="1756"/>
    <col min="8450" max="8455" width="12.296875" style="1756" customWidth="1"/>
    <col min="8456" max="8705" width="8.796875" style="1756"/>
    <col min="8706" max="8711" width="12.296875" style="1756" customWidth="1"/>
    <col min="8712" max="8961" width="8.796875" style="1756"/>
    <col min="8962" max="8967" width="12.296875" style="1756" customWidth="1"/>
    <col min="8968" max="9217" width="8.796875" style="1756"/>
    <col min="9218" max="9223" width="12.296875" style="1756" customWidth="1"/>
    <col min="9224" max="9473" width="8.796875" style="1756"/>
    <col min="9474" max="9479" width="12.296875" style="1756" customWidth="1"/>
    <col min="9480" max="9729" width="8.796875" style="1756"/>
    <col min="9730" max="9735" width="12.296875" style="1756" customWidth="1"/>
    <col min="9736" max="9985" width="8.796875" style="1756"/>
    <col min="9986" max="9991" width="12.296875" style="1756" customWidth="1"/>
    <col min="9992" max="10241" width="8.796875" style="1756"/>
    <col min="10242" max="10247" width="12.296875" style="1756" customWidth="1"/>
    <col min="10248" max="10497" width="8.796875" style="1756"/>
    <col min="10498" max="10503" width="12.296875" style="1756" customWidth="1"/>
    <col min="10504" max="10753" width="8.796875" style="1756"/>
    <col min="10754" max="10759" width="12.296875" style="1756" customWidth="1"/>
    <col min="10760" max="11009" width="8.796875" style="1756"/>
    <col min="11010" max="11015" width="12.296875" style="1756" customWidth="1"/>
    <col min="11016" max="11265" width="8.796875" style="1756"/>
    <col min="11266" max="11271" width="12.296875" style="1756" customWidth="1"/>
    <col min="11272" max="11521" width="8.796875" style="1756"/>
    <col min="11522" max="11527" width="12.296875" style="1756" customWidth="1"/>
    <col min="11528" max="11777" width="8.796875" style="1756"/>
    <col min="11778" max="11783" width="12.296875" style="1756" customWidth="1"/>
    <col min="11784" max="12033" width="8.796875" style="1756"/>
    <col min="12034" max="12039" width="12.296875" style="1756" customWidth="1"/>
    <col min="12040" max="12289" width="8.796875" style="1756"/>
    <col min="12290" max="12295" width="12.296875" style="1756" customWidth="1"/>
    <col min="12296" max="12545" width="8.796875" style="1756"/>
    <col min="12546" max="12551" width="12.296875" style="1756" customWidth="1"/>
    <col min="12552" max="12801" width="8.796875" style="1756"/>
    <col min="12802" max="12807" width="12.296875" style="1756" customWidth="1"/>
    <col min="12808" max="13057" width="8.796875" style="1756"/>
    <col min="13058" max="13063" width="12.296875" style="1756" customWidth="1"/>
    <col min="13064" max="13313" width="8.796875" style="1756"/>
    <col min="13314" max="13319" width="12.296875" style="1756" customWidth="1"/>
    <col min="13320" max="13569" width="8.796875" style="1756"/>
    <col min="13570" max="13575" width="12.296875" style="1756" customWidth="1"/>
    <col min="13576" max="13825" width="8.796875" style="1756"/>
    <col min="13826" max="13831" width="12.296875" style="1756" customWidth="1"/>
    <col min="13832" max="14081" width="8.796875" style="1756"/>
    <col min="14082" max="14087" width="12.296875" style="1756" customWidth="1"/>
    <col min="14088" max="14337" width="8.796875" style="1756"/>
    <col min="14338" max="14343" width="12.296875" style="1756" customWidth="1"/>
    <col min="14344" max="14593" width="8.796875" style="1756"/>
    <col min="14594" max="14599" width="12.296875" style="1756" customWidth="1"/>
    <col min="14600" max="14849" width="8.796875" style="1756"/>
    <col min="14850" max="14855" width="12.296875" style="1756" customWidth="1"/>
    <col min="14856" max="15105" width="8.796875" style="1756"/>
    <col min="15106" max="15111" width="12.296875" style="1756" customWidth="1"/>
    <col min="15112" max="15361" width="8.796875" style="1756"/>
    <col min="15362" max="15367" width="12.296875" style="1756" customWidth="1"/>
    <col min="15368" max="15617" width="8.796875" style="1756"/>
    <col min="15618" max="15623" width="12.296875" style="1756" customWidth="1"/>
    <col min="15624" max="15873" width="8.796875" style="1756"/>
    <col min="15874" max="15879" width="12.296875" style="1756" customWidth="1"/>
    <col min="15880" max="16129" width="8.796875" style="1756"/>
    <col min="16130" max="16135" width="12.296875" style="1756" customWidth="1"/>
    <col min="16136" max="16384" width="8.796875" style="1756"/>
  </cols>
  <sheetData>
    <row r="1" spans="1:18" ht="30" customHeight="1" thickBot="1">
      <c r="A1" s="1481" t="s">
        <v>3205</v>
      </c>
    </row>
    <row r="2" spans="1:18" ht="15" customHeight="1">
      <c r="A2" s="2673" t="s">
        <v>2924</v>
      </c>
      <c r="B2" s="2675" t="s">
        <v>3206</v>
      </c>
      <c r="C2" s="2676"/>
      <c r="D2" s="2675" t="s">
        <v>3207</v>
      </c>
      <c r="E2" s="2676"/>
      <c r="F2" s="2675" t="s">
        <v>3208</v>
      </c>
      <c r="G2" s="2676"/>
    </row>
    <row r="3" spans="1:18" ht="15" customHeight="1">
      <c r="A3" s="2674"/>
      <c r="B3" s="1757" t="s">
        <v>3209</v>
      </c>
      <c r="C3" s="1757" t="s">
        <v>3210</v>
      </c>
      <c r="D3" s="1757" t="s">
        <v>3209</v>
      </c>
      <c r="E3" s="1757" t="s">
        <v>3210</v>
      </c>
      <c r="F3" s="1757" t="s">
        <v>3209</v>
      </c>
      <c r="G3" s="1757" t="s">
        <v>3210</v>
      </c>
    </row>
    <row r="4" spans="1:18" ht="15" customHeight="1">
      <c r="A4" s="1758"/>
      <c r="B4" s="1759" t="s">
        <v>3211</v>
      </c>
      <c r="C4" s="1759" t="s">
        <v>229</v>
      </c>
      <c r="D4" s="1759" t="s">
        <v>3211</v>
      </c>
      <c r="E4" s="1759" t="s">
        <v>229</v>
      </c>
      <c r="F4" s="1759" t="s">
        <v>1026</v>
      </c>
      <c r="G4" s="1759" t="s">
        <v>1026</v>
      </c>
    </row>
    <row r="5" spans="1:18" ht="18" customHeight="1">
      <c r="A5" s="1760" t="s">
        <v>3212</v>
      </c>
      <c r="B5" s="1761">
        <v>10926</v>
      </c>
      <c r="C5" s="1761">
        <v>24878</v>
      </c>
      <c r="D5" s="1761">
        <v>10926</v>
      </c>
      <c r="E5" s="1761">
        <v>24878</v>
      </c>
      <c r="F5" s="1762">
        <f>ROUND(D5/B5*100,1)</f>
        <v>100</v>
      </c>
      <c r="G5" s="1762">
        <f>ROUND(E5/C5*100,1)</f>
        <v>100</v>
      </c>
      <c r="Q5" s="1763"/>
      <c r="R5" s="1763"/>
    </row>
    <row r="6" spans="1:18" ht="18" customHeight="1">
      <c r="A6" s="1760">
        <v>2</v>
      </c>
      <c r="B6" s="1761">
        <v>10968</v>
      </c>
      <c r="C6" s="1761">
        <v>24562</v>
      </c>
      <c r="D6" s="1761">
        <v>10968</v>
      </c>
      <c r="E6" s="1761">
        <v>24562</v>
      </c>
      <c r="F6" s="1762">
        <v>100</v>
      </c>
      <c r="G6" s="1762">
        <v>100</v>
      </c>
      <c r="Q6" s="1763"/>
      <c r="R6" s="1763"/>
    </row>
    <row r="7" spans="1:18" ht="18" customHeight="1">
      <c r="A7" s="1760">
        <v>3</v>
      </c>
      <c r="B7" s="1761">
        <v>10983</v>
      </c>
      <c r="C7" s="1761">
        <v>24239</v>
      </c>
      <c r="D7" s="1761">
        <v>10983</v>
      </c>
      <c r="E7" s="1761">
        <v>24239</v>
      </c>
      <c r="F7" s="1762">
        <v>100</v>
      </c>
      <c r="G7" s="1762">
        <v>100</v>
      </c>
      <c r="Q7" s="1763"/>
      <c r="R7" s="1763"/>
    </row>
    <row r="8" spans="1:18" ht="18" customHeight="1">
      <c r="A8" s="1760">
        <v>4</v>
      </c>
      <c r="B8" s="1761">
        <v>11002</v>
      </c>
      <c r="C8" s="1761">
        <v>23852</v>
      </c>
      <c r="D8" s="1761">
        <v>11002</v>
      </c>
      <c r="E8" s="1761">
        <v>23852</v>
      </c>
      <c r="F8" s="1762">
        <v>100</v>
      </c>
      <c r="G8" s="1762">
        <v>100</v>
      </c>
      <c r="Q8" s="1763"/>
      <c r="R8" s="1763"/>
    </row>
    <row r="9" spans="1:18" ht="18" customHeight="1" thickBot="1">
      <c r="A9" s="1764">
        <v>5</v>
      </c>
      <c r="B9" s="1765">
        <v>11033</v>
      </c>
      <c r="C9" s="1765">
        <v>23538</v>
      </c>
      <c r="D9" s="1765">
        <v>11033</v>
      </c>
      <c r="E9" s="1765">
        <v>23538</v>
      </c>
      <c r="F9" s="1766">
        <v>100</v>
      </c>
      <c r="G9" s="1766">
        <v>100</v>
      </c>
      <c r="Q9" s="1763"/>
      <c r="R9" s="1763"/>
    </row>
    <row r="10" spans="1:18" ht="16.8" customHeight="1">
      <c r="A10" s="1479" t="s">
        <v>3213</v>
      </c>
      <c r="B10" s="1767"/>
      <c r="C10" s="1768"/>
      <c r="D10" s="1768"/>
      <c r="E10" s="1768"/>
      <c r="F10" s="1769"/>
      <c r="G10" s="1769"/>
    </row>
    <row r="12" spans="1:18" ht="30" customHeight="1" thickBot="1">
      <c r="A12" s="1481" t="s">
        <v>3214</v>
      </c>
    </row>
    <row r="13" spans="1:18" ht="15" customHeight="1">
      <c r="A13" s="2673" t="s">
        <v>2924</v>
      </c>
      <c r="B13" s="2675" t="s">
        <v>3206</v>
      </c>
      <c r="C13" s="2677"/>
      <c r="D13" s="2675" t="s">
        <v>3207</v>
      </c>
      <c r="E13" s="2677"/>
      <c r="F13" s="2675" t="s">
        <v>3208</v>
      </c>
      <c r="G13" s="2676"/>
    </row>
    <row r="14" spans="1:18" ht="15" customHeight="1">
      <c r="A14" s="2674"/>
      <c r="B14" s="1757" t="s">
        <v>3209</v>
      </c>
      <c r="C14" s="1757" t="s">
        <v>3210</v>
      </c>
      <c r="D14" s="1757" t="s">
        <v>3209</v>
      </c>
      <c r="E14" s="1757" t="s">
        <v>3210</v>
      </c>
      <c r="F14" s="1757" t="s">
        <v>3209</v>
      </c>
      <c r="G14" s="1757" t="s">
        <v>3210</v>
      </c>
    </row>
    <row r="15" spans="1:18" ht="15" customHeight="1">
      <c r="A15" s="1758"/>
      <c r="B15" s="1759" t="s">
        <v>3211</v>
      </c>
      <c r="C15" s="1759" t="s">
        <v>229</v>
      </c>
      <c r="D15" s="1759" t="s">
        <v>3211</v>
      </c>
      <c r="E15" s="1759" t="s">
        <v>229</v>
      </c>
      <c r="F15" s="1759" t="s">
        <v>1026</v>
      </c>
      <c r="G15" s="1759" t="s">
        <v>1026</v>
      </c>
    </row>
    <row r="16" spans="1:18" ht="18" customHeight="1">
      <c r="A16" s="1760" t="s">
        <v>3212</v>
      </c>
      <c r="B16" s="1761">
        <v>745</v>
      </c>
      <c r="C16" s="1761">
        <v>1680</v>
      </c>
      <c r="D16" s="1761">
        <v>727</v>
      </c>
      <c r="E16" s="1761">
        <v>1655</v>
      </c>
      <c r="F16" s="1762">
        <f t="shared" ref="F16:G16" si="0">ROUND(D16/B16*100,1)</f>
        <v>97.6</v>
      </c>
      <c r="G16" s="1762">
        <f t="shared" si="0"/>
        <v>98.5</v>
      </c>
      <c r="Q16" s="1763"/>
      <c r="R16" s="1763"/>
    </row>
    <row r="17" spans="1:18" ht="18" customHeight="1">
      <c r="A17" s="1760">
        <v>2</v>
      </c>
      <c r="B17" s="1761">
        <v>735</v>
      </c>
      <c r="C17" s="1761">
        <v>1640</v>
      </c>
      <c r="D17" s="1761">
        <v>717</v>
      </c>
      <c r="E17" s="1761">
        <v>1604</v>
      </c>
      <c r="F17" s="1762">
        <v>97.6</v>
      </c>
      <c r="G17" s="1762">
        <v>97.8</v>
      </c>
      <c r="Q17" s="1763"/>
      <c r="R17" s="1763"/>
    </row>
    <row r="18" spans="1:18" ht="18" customHeight="1">
      <c r="A18" s="1760">
        <v>3</v>
      </c>
      <c r="B18" s="1761">
        <v>723</v>
      </c>
      <c r="C18" s="1761">
        <v>1583</v>
      </c>
      <c r="D18" s="1761">
        <v>708</v>
      </c>
      <c r="E18" s="1761">
        <v>1552</v>
      </c>
      <c r="F18" s="1762">
        <v>97.9</v>
      </c>
      <c r="G18" s="1762">
        <v>98</v>
      </c>
      <c r="Q18" s="1763"/>
      <c r="R18" s="1763"/>
    </row>
    <row r="19" spans="1:18" ht="18" customHeight="1">
      <c r="A19" s="1760">
        <v>4</v>
      </c>
      <c r="B19" s="1761">
        <v>730</v>
      </c>
      <c r="C19" s="1761">
        <v>1547</v>
      </c>
      <c r="D19" s="1761">
        <v>716</v>
      </c>
      <c r="E19" s="1761">
        <v>1518</v>
      </c>
      <c r="F19" s="1762">
        <v>98.1</v>
      </c>
      <c r="G19" s="1762">
        <v>98.1</v>
      </c>
      <c r="Q19" s="1763"/>
      <c r="R19" s="1763"/>
    </row>
    <row r="20" spans="1:18" ht="18" customHeight="1" thickBot="1">
      <c r="A20" s="1764">
        <v>5</v>
      </c>
      <c r="B20" s="1765">
        <v>711</v>
      </c>
      <c r="C20" s="1765">
        <v>1483</v>
      </c>
      <c r="D20" s="1765">
        <v>697</v>
      </c>
      <c r="E20" s="1765">
        <v>1461</v>
      </c>
      <c r="F20" s="1766">
        <v>98</v>
      </c>
      <c r="G20" s="1766">
        <v>98.5</v>
      </c>
      <c r="Q20" s="1763"/>
      <c r="R20" s="1763"/>
    </row>
    <row r="21" spans="1:18" ht="16.8" customHeight="1">
      <c r="A21" s="1479" t="s">
        <v>3215</v>
      </c>
      <c r="B21" s="1767"/>
      <c r="C21" s="1768"/>
      <c r="D21" s="1768"/>
      <c r="E21" s="1768"/>
      <c r="F21" s="1769"/>
      <c r="G21" s="1769"/>
    </row>
    <row r="22" spans="1:18" ht="14.4" customHeight="1"/>
  </sheetData>
  <mergeCells count="8">
    <mergeCell ref="A2:A3"/>
    <mergeCell ref="B2:C2"/>
    <mergeCell ref="D2:E2"/>
    <mergeCell ref="F2:G2"/>
    <mergeCell ref="A13:A14"/>
    <mergeCell ref="B13:C13"/>
    <mergeCell ref="D13:E13"/>
    <mergeCell ref="F13:G13"/>
  </mergeCells>
  <phoneticPr fontId="4"/>
  <pageMargins left="0.7" right="0.7" top="0.75" bottom="0.75" header="0.3" footer="0.3"/>
  <pageSetup paperSize="9" scale="97"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5B765-FEE8-48A0-A871-333F9D2C8EBF}">
  <sheetPr codeName="Sheet130"/>
  <dimension ref="A1:N21"/>
  <sheetViews>
    <sheetView zoomScaleNormal="100" workbookViewId="0"/>
  </sheetViews>
  <sheetFormatPr defaultRowHeight="10.8"/>
  <cols>
    <col min="1" max="1" width="8.8984375" style="1756" customWidth="1"/>
    <col min="2" max="12" width="6.8984375" style="1756" customWidth="1"/>
    <col min="13" max="256" width="8.796875" style="1756"/>
    <col min="257" max="257" width="7.3984375" style="1756" customWidth="1"/>
    <col min="258" max="268" width="6.8984375" style="1756" customWidth="1"/>
    <col min="269" max="512" width="8.796875" style="1756"/>
    <col min="513" max="513" width="7.3984375" style="1756" customWidth="1"/>
    <col min="514" max="524" width="6.8984375" style="1756" customWidth="1"/>
    <col min="525" max="768" width="8.796875" style="1756"/>
    <col min="769" max="769" width="7.3984375" style="1756" customWidth="1"/>
    <col min="770" max="780" width="6.8984375" style="1756" customWidth="1"/>
    <col min="781" max="1024" width="8.796875" style="1756"/>
    <col min="1025" max="1025" width="7.3984375" style="1756" customWidth="1"/>
    <col min="1026" max="1036" width="6.8984375" style="1756" customWidth="1"/>
    <col min="1037" max="1280" width="8.796875" style="1756"/>
    <col min="1281" max="1281" width="7.3984375" style="1756" customWidth="1"/>
    <col min="1282" max="1292" width="6.8984375" style="1756" customWidth="1"/>
    <col min="1293" max="1536" width="8.796875" style="1756"/>
    <col min="1537" max="1537" width="7.3984375" style="1756" customWidth="1"/>
    <col min="1538" max="1548" width="6.8984375" style="1756" customWidth="1"/>
    <col min="1549" max="1792" width="8.796875" style="1756"/>
    <col min="1793" max="1793" width="7.3984375" style="1756" customWidth="1"/>
    <col min="1794" max="1804" width="6.8984375" style="1756" customWidth="1"/>
    <col min="1805" max="2048" width="8.796875" style="1756"/>
    <col min="2049" max="2049" width="7.3984375" style="1756" customWidth="1"/>
    <col min="2050" max="2060" width="6.8984375" style="1756" customWidth="1"/>
    <col min="2061" max="2304" width="8.796875" style="1756"/>
    <col min="2305" max="2305" width="7.3984375" style="1756" customWidth="1"/>
    <col min="2306" max="2316" width="6.8984375" style="1756" customWidth="1"/>
    <col min="2317" max="2560" width="8.796875" style="1756"/>
    <col min="2561" max="2561" width="7.3984375" style="1756" customWidth="1"/>
    <col min="2562" max="2572" width="6.8984375" style="1756" customWidth="1"/>
    <col min="2573" max="2816" width="8.796875" style="1756"/>
    <col min="2817" max="2817" width="7.3984375" style="1756" customWidth="1"/>
    <col min="2818" max="2828" width="6.8984375" style="1756" customWidth="1"/>
    <col min="2829" max="3072" width="8.796875" style="1756"/>
    <col min="3073" max="3073" width="7.3984375" style="1756" customWidth="1"/>
    <col min="3074" max="3084" width="6.8984375" style="1756" customWidth="1"/>
    <col min="3085" max="3328" width="8.796875" style="1756"/>
    <col min="3329" max="3329" width="7.3984375" style="1756" customWidth="1"/>
    <col min="3330" max="3340" width="6.8984375" style="1756" customWidth="1"/>
    <col min="3341" max="3584" width="8.796875" style="1756"/>
    <col min="3585" max="3585" width="7.3984375" style="1756" customWidth="1"/>
    <col min="3586" max="3596" width="6.8984375" style="1756" customWidth="1"/>
    <col min="3597" max="3840" width="8.796875" style="1756"/>
    <col min="3841" max="3841" width="7.3984375" style="1756" customWidth="1"/>
    <col min="3842" max="3852" width="6.8984375" style="1756" customWidth="1"/>
    <col min="3853" max="4096" width="8.796875" style="1756"/>
    <col min="4097" max="4097" width="7.3984375" style="1756" customWidth="1"/>
    <col min="4098" max="4108" width="6.8984375" style="1756" customWidth="1"/>
    <col min="4109" max="4352" width="8.796875" style="1756"/>
    <col min="4353" max="4353" width="7.3984375" style="1756" customWidth="1"/>
    <col min="4354" max="4364" width="6.8984375" style="1756" customWidth="1"/>
    <col min="4365" max="4608" width="8.796875" style="1756"/>
    <col min="4609" max="4609" width="7.3984375" style="1756" customWidth="1"/>
    <col min="4610" max="4620" width="6.8984375" style="1756" customWidth="1"/>
    <col min="4621" max="4864" width="8.796875" style="1756"/>
    <col min="4865" max="4865" width="7.3984375" style="1756" customWidth="1"/>
    <col min="4866" max="4876" width="6.8984375" style="1756" customWidth="1"/>
    <col min="4877" max="5120" width="8.796875" style="1756"/>
    <col min="5121" max="5121" width="7.3984375" style="1756" customWidth="1"/>
    <col min="5122" max="5132" width="6.8984375" style="1756" customWidth="1"/>
    <col min="5133" max="5376" width="8.796875" style="1756"/>
    <col min="5377" max="5377" width="7.3984375" style="1756" customWidth="1"/>
    <col min="5378" max="5388" width="6.8984375" style="1756" customWidth="1"/>
    <col min="5389" max="5632" width="8.796875" style="1756"/>
    <col min="5633" max="5633" width="7.3984375" style="1756" customWidth="1"/>
    <col min="5634" max="5644" width="6.8984375" style="1756" customWidth="1"/>
    <col min="5645" max="5888" width="8.796875" style="1756"/>
    <col min="5889" max="5889" width="7.3984375" style="1756" customWidth="1"/>
    <col min="5890" max="5900" width="6.8984375" style="1756" customWidth="1"/>
    <col min="5901" max="6144" width="8.796875" style="1756"/>
    <col min="6145" max="6145" width="7.3984375" style="1756" customWidth="1"/>
    <col min="6146" max="6156" width="6.8984375" style="1756" customWidth="1"/>
    <col min="6157" max="6400" width="8.796875" style="1756"/>
    <col min="6401" max="6401" width="7.3984375" style="1756" customWidth="1"/>
    <col min="6402" max="6412" width="6.8984375" style="1756" customWidth="1"/>
    <col min="6413" max="6656" width="8.796875" style="1756"/>
    <col min="6657" max="6657" width="7.3984375" style="1756" customWidth="1"/>
    <col min="6658" max="6668" width="6.8984375" style="1756" customWidth="1"/>
    <col min="6669" max="6912" width="8.796875" style="1756"/>
    <col min="6913" max="6913" width="7.3984375" style="1756" customWidth="1"/>
    <col min="6914" max="6924" width="6.8984375" style="1756" customWidth="1"/>
    <col min="6925" max="7168" width="8.796875" style="1756"/>
    <col min="7169" max="7169" width="7.3984375" style="1756" customWidth="1"/>
    <col min="7170" max="7180" width="6.8984375" style="1756" customWidth="1"/>
    <col min="7181" max="7424" width="8.796875" style="1756"/>
    <col min="7425" max="7425" width="7.3984375" style="1756" customWidth="1"/>
    <col min="7426" max="7436" width="6.8984375" style="1756" customWidth="1"/>
    <col min="7437" max="7680" width="8.796875" style="1756"/>
    <col min="7681" max="7681" width="7.3984375" style="1756" customWidth="1"/>
    <col min="7682" max="7692" width="6.8984375" style="1756" customWidth="1"/>
    <col min="7693" max="7936" width="8.796875" style="1756"/>
    <col min="7937" max="7937" width="7.3984375" style="1756" customWidth="1"/>
    <col min="7938" max="7948" width="6.8984375" style="1756" customWidth="1"/>
    <col min="7949" max="8192" width="8.796875" style="1756"/>
    <col min="8193" max="8193" width="7.3984375" style="1756" customWidth="1"/>
    <col min="8194" max="8204" width="6.8984375" style="1756" customWidth="1"/>
    <col min="8205" max="8448" width="8.796875" style="1756"/>
    <col min="8449" max="8449" width="7.3984375" style="1756" customWidth="1"/>
    <col min="8450" max="8460" width="6.8984375" style="1756" customWidth="1"/>
    <col min="8461" max="8704" width="8.796875" style="1756"/>
    <col min="8705" max="8705" width="7.3984375" style="1756" customWidth="1"/>
    <col min="8706" max="8716" width="6.8984375" style="1756" customWidth="1"/>
    <col min="8717" max="8960" width="8.796875" style="1756"/>
    <col min="8961" max="8961" width="7.3984375" style="1756" customWidth="1"/>
    <col min="8962" max="8972" width="6.8984375" style="1756" customWidth="1"/>
    <col min="8973" max="9216" width="8.796875" style="1756"/>
    <col min="9217" max="9217" width="7.3984375" style="1756" customWidth="1"/>
    <col min="9218" max="9228" width="6.8984375" style="1756" customWidth="1"/>
    <col min="9229" max="9472" width="8.796875" style="1756"/>
    <col min="9473" max="9473" width="7.3984375" style="1756" customWidth="1"/>
    <col min="9474" max="9484" width="6.8984375" style="1756" customWidth="1"/>
    <col min="9485" max="9728" width="8.796875" style="1756"/>
    <col min="9729" max="9729" width="7.3984375" style="1756" customWidth="1"/>
    <col min="9730" max="9740" width="6.8984375" style="1756" customWidth="1"/>
    <col min="9741" max="9984" width="8.796875" style="1756"/>
    <col min="9985" max="9985" width="7.3984375" style="1756" customWidth="1"/>
    <col min="9986" max="9996" width="6.8984375" style="1756" customWidth="1"/>
    <col min="9997" max="10240" width="8.796875" style="1756"/>
    <col min="10241" max="10241" width="7.3984375" style="1756" customWidth="1"/>
    <col min="10242" max="10252" width="6.8984375" style="1756" customWidth="1"/>
    <col min="10253" max="10496" width="8.796875" style="1756"/>
    <col min="10497" max="10497" width="7.3984375" style="1756" customWidth="1"/>
    <col min="10498" max="10508" width="6.8984375" style="1756" customWidth="1"/>
    <col min="10509" max="10752" width="8.796875" style="1756"/>
    <col min="10753" max="10753" width="7.3984375" style="1756" customWidth="1"/>
    <col min="10754" max="10764" width="6.8984375" style="1756" customWidth="1"/>
    <col min="10765" max="11008" width="8.796875" style="1756"/>
    <col min="11009" max="11009" width="7.3984375" style="1756" customWidth="1"/>
    <col min="11010" max="11020" width="6.8984375" style="1756" customWidth="1"/>
    <col min="11021" max="11264" width="8.796875" style="1756"/>
    <col min="11265" max="11265" width="7.3984375" style="1756" customWidth="1"/>
    <col min="11266" max="11276" width="6.8984375" style="1756" customWidth="1"/>
    <col min="11277" max="11520" width="8.796875" style="1756"/>
    <col min="11521" max="11521" width="7.3984375" style="1756" customWidth="1"/>
    <col min="11522" max="11532" width="6.8984375" style="1756" customWidth="1"/>
    <col min="11533" max="11776" width="8.796875" style="1756"/>
    <col min="11777" max="11777" width="7.3984375" style="1756" customWidth="1"/>
    <col min="11778" max="11788" width="6.8984375" style="1756" customWidth="1"/>
    <col min="11789" max="12032" width="8.796875" style="1756"/>
    <col min="12033" max="12033" width="7.3984375" style="1756" customWidth="1"/>
    <col min="12034" max="12044" width="6.8984375" style="1756" customWidth="1"/>
    <col min="12045" max="12288" width="8.796875" style="1756"/>
    <col min="12289" max="12289" width="7.3984375" style="1756" customWidth="1"/>
    <col min="12290" max="12300" width="6.8984375" style="1756" customWidth="1"/>
    <col min="12301" max="12544" width="8.796875" style="1756"/>
    <col min="12545" max="12545" width="7.3984375" style="1756" customWidth="1"/>
    <col min="12546" max="12556" width="6.8984375" style="1756" customWidth="1"/>
    <col min="12557" max="12800" width="8.796875" style="1756"/>
    <col min="12801" max="12801" width="7.3984375" style="1756" customWidth="1"/>
    <col min="12802" max="12812" width="6.8984375" style="1756" customWidth="1"/>
    <col min="12813" max="13056" width="8.796875" style="1756"/>
    <col min="13057" max="13057" width="7.3984375" style="1756" customWidth="1"/>
    <col min="13058" max="13068" width="6.8984375" style="1756" customWidth="1"/>
    <col min="13069" max="13312" width="8.796875" style="1756"/>
    <col min="13313" max="13313" width="7.3984375" style="1756" customWidth="1"/>
    <col min="13314" max="13324" width="6.8984375" style="1756" customWidth="1"/>
    <col min="13325" max="13568" width="8.796875" style="1756"/>
    <col min="13569" max="13569" width="7.3984375" style="1756" customWidth="1"/>
    <col min="13570" max="13580" width="6.8984375" style="1756" customWidth="1"/>
    <col min="13581" max="13824" width="8.796875" style="1756"/>
    <col min="13825" max="13825" width="7.3984375" style="1756" customWidth="1"/>
    <col min="13826" max="13836" width="6.8984375" style="1756" customWidth="1"/>
    <col min="13837" max="14080" width="8.796875" style="1756"/>
    <col min="14081" max="14081" width="7.3984375" style="1756" customWidth="1"/>
    <col min="14082" max="14092" width="6.8984375" style="1756" customWidth="1"/>
    <col min="14093" max="14336" width="8.796875" style="1756"/>
    <col min="14337" max="14337" width="7.3984375" style="1756" customWidth="1"/>
    <col min="14338" max="14348" width="6.8984375" style="1756" customWidth="1"/>
    <col min="14349" max="14592" width="8.796875" style="1756"/>
    <col min="14593" max="14593" width="7.3984375" style="1756" customWidth="1"/>
    <col min="14594" max="14604" width="6.8984375" style="1756" customWidth="1"/>
    <col min="14605" max="14848" width="8.796875" style="1756"/>
    <col min="14849" max="14849" width="7.3984375" style="1756" customWidth="1"/>
    <col min="14850" max="14860" width="6.8984375" style="1756" customWidth="1"/>
    <col min="14861" max="15104" width="8.796875" style="1756"/>
    <col min="15105" max="15105" width="7.3984375" style="1756" customWidth="1"/>
    <col min="15106" max="15116" width="6.8984375" style="1756" customWidth="1"/>
    <col min="15117" max="15360" width="8.796875" style="1756"/>
    <col min="15361" max="15361" width="7.3984375" style="1756" customWidth="1"/>
    <col min="15362" max="15372" width="6.8984375" style="1756" customWidth="1"/>
    <col min="15373" max="15616" width="8.796875" style="1756"/>
    <col min="15617" max="15617" width="7.3984375" style="1756" customWidth="1"/>
    <col min="15618" max="15628" width="6.8984375" style="1756" customWidth="1"/>
    <col min="15629" max="15872" width="8.796875" style="1756"/>
    <col min="15873" max="15873" width="7.3984375" style="1756" customWidth="1"/>
    <col min="15874" max="15884" width="6.8984375" style="1756" customWidth="1"/>
    <col min="15885" max="16128" width="8.796875" style="1756"/>
    <col min="16129" max="16129" width="7.3984375" style="1756" customWidth="1"/>
    <col min="16130" max="16140" width="6.8984375" style="1756" customWidth="1"/>
    <col min="16141" max="16384" width="8.796875" style="1756"/>
  </cols>
  <sheetData>
    <row r="1" spans="1:14" ht="30" customHeight="1" thickBot="1">
      <c r="A1" s="1770" t="s">
        <v>3216</v>
      </c>
      <c r="B1" s="1770"/>
    </row>
    <row r="2" spans="1:14" ht="16.8" customHeight="1">
      <c r="A2" s="2684" t="s">
        <v>2924</v>
      </c>
      <c r="B2" s="2680" t="s">
        <v>3217</v>
      </c>
      <c r="C2" s="2686" t="s">
        <v>3218</v>
      </c>
      <c r="D2" s="2687"/>
      <c r="E2" s="2680" t="s">
        <v>3219</v>
      </c>
      <c r="F2" s="2680" t="s">
        <v>3220</v>
      </c>
      <c r="G2" s="2678" t="s">
        <v>3221</v>
      </c>
      <c r="H2" s="2690" t="s">
        <v>3222</v>
      </c>
      <c r="I2" s="2691"/>
      <c r="J2" s="2682" t="s">
        <v>3223</v>
      </c>
      <c r="K2" s="2680" t="s">
        <v>3224</v>
      </c>
      <c r="L2" s="2688" t="s">
        <v>3225</v>
      </c>
    </row>
    <row r="3" spans="1:14" ht="16.8" customHeight="1">
      <c r="A3" s="2685"/>
      <c r="B3" s="2681"/>
      <c r="C3" s="1771" t="s">
        <v>3226</v>
      </c>
      <c r="D3" s="1772" t="s">
        <v>3227</v>
      </c>
      <c r="E3" s="2681"/>
      <c r="F3" s="2681"/>
      <c r="G3" s="2679"/>
      <c r="H3" s="1773" t="s">
        <v>3228</v>
      </c>
      <c r="I3" s="1772" t="s">
        <v>3229</v>
      </c>
      <c r="J3" s="2683"/>
      <c r="K3" s="2681"/>
      <c r="L3" s="2689"/>
    </row>
    <row r="4" spans="1:14">
      <c r="A4" s="1774"/>
      <c r="B4" s="1775" t="s">
        <v>3230</v>
      </c>
      <c r="C4" s="1776"/>
      <c r="D4" s="1775" t="s">
        <v>3231</v>
      </c>
      <c r="E4" s="1775" t="s">
        <v>3232</v>
      </c>
      <c r="F4" s="1775" t="s">
        <v>3233</v>
      </c>
      <c r="G4" s="1775" t="s">
        <v>3233</v>
      </c>
      <c r="H4" s="1775" t="s">
        <v>3230</v>
      </c>
      <c r="I4" s="1775" t="s">
        <v>3230</v>
      </c>
      <c r="J4" s="1775" t="s">
        <v>3230</v>
      </c>
      <c r="K4" s="1775" t="s">
        <v>1026</v>
      </c>
      <c r="L4" s="1775" t="s">
        <v>1026</v>
      </c>
    </row>
    <row r="5" spans="1:14" ht="19.2" customHeight="1">
      <c r="A5" s="1485" t="s">
        <v>3234</v>
      </c>
      <c r="B5" s="1387">
        <v>3894</v>
      </c>
      <c r="C5" s="1501">
        <v>8.1300000000000008</v>
      </c>
      <c r="D5" s="1387">
        <v>11935</v>
      </c>
      <c r="E5" s="1387">
        <v>10641</v>
      </c>
      <c r="F5" s="1387">
        <v>480</v>
      </c>
      <c r="G5" s="1387">
        <v>428</v>
      </c>
      <c r="H5" s="1387">
        <v>2630</v>
      </c>
      <c r="I5" s="1387">
        <v>69</v>
      </c>
      <c r="J5" s="1387">
        <v>1195</v>
      </c>
      <c r="K5" s="1777">
        <v>67.539804827940415</v>
      </c>
      <c r="L5" s="1777">
        <v>69.311761684643031</v>
      </c>
      <c r="M5" s="1778"/>
      <c r="N5" s="1778"/>
    </row>
    <row r="6" spans="1:14" ht="19.2" customHeight="1">
      <c r="A6" s="1485">
        <v>2</v>
      </c>
      <c r="B6" s="1387">
        <v>3853</v>
      </c>
      <c r="C6" s="1501">
        <v>8.19</v>
      </c>
      <c r="D6" s="1387">
        <v>11718</v>
      </c>
      <c r="E6" s="1387">
        <v>10555</v>
      </c>
      <c r="F6" s="1387">
        <v>477</v>
      </c>
      <c r="G6" s="1387">
        <v>430</v>
      </c>
      <c r="H6" s="1387">
        <v>2662</v>
      </c>
      <c r="I6" s="1387">
        <v>49</v>
      </c>
      <c r="J6" s="1387">
        <v>1141</v>
      </c>
      <c r="K6" s="1777">
        <v>69.089021541655853</v>
      </c>
      <c r="L6" s="1777">
        <v>70.360757851025184</v>
      </c>
      <c r="M6" s="1778"/>
      <c r="N6" s="1778"/>
    </row>
    <row r="7" spans="1:14" ht="19.2" customHeight="1">
      <c r="A7" s="1485">
        <v>3</v>
      </c>
      <c r="B7" s="1387">
        <v>3917</v>
      </c>
      <c r="C7" s="1501">
        <v>7.24</v>
      </c>
      <c r="D7" s="1387">
        <v>11657</v>
      </c>
      <c r="E7" s="1387">
        <v>10732</v>
      </c>
      <c r="F7" s="1387">
        <v>481</v>
      </c>
      <c r="G7" s="1387">
        <v>443</v>
      </c>
      <c r="H7" s="1387">
        <v>2627</v>
      </c>
      <c r="I7" s="1387">
        <v>81</v>
      </c>
      <c r="J7" s="1387">
        <v>1209</v>
      </c>
      <c r="K7" s="1777">
        <v>67.099999999999994</v>
      </c>
      <c r="L7" s="1777">
        <v>69.099999999999994</v>
      </c>
      <c r="M7" s="1778"/>
      <c r="N7" s="1778"/>
    </row>
    <row r="8" spans="1:14" ht="19.2" customHeight="1">
      <c r="A8" s="1485">
        <v>4</v>
      </c>
      <c r="B8" s="1387">
        <v>3971</v>
      </c>
      <c r="C8" s="1501">
        <v>8.1300000000000008</v>
      </c>
      <c r="D8" s="1387">
        <v>11903</v>
      </c>
      <c r="E8" s="1387">
        <v>10880</v>
      </c>
      <c r="F8" s="1387">
        <v>499</v>
      </c>
      <c r="G8" s="1387">
        <v>456</v>
      </c>
      <c r="H8" s="1387">
        <v>2610</v>
      </c>
      <c r="I8" s="1387">
        <v>67</v>
      </c>
      <c r="J8" s="1387">
        <v>1294</v>
      </c>
      <c r="K8" s="1777">
        <v>65.7</v>
      </c>
      <c r="L8" s="1777">
        <v>67.400000000000006</v>
      </c>
      <c r="M8" s="1778"/>
      <c r="N8" s="1778"/>
    </row>
    <row r="9" spans="1:14" ht="19.2" customHeight="1" thickBot="1">
      <c r="A9" s="1504">
        <v>5</v>
      </c>
      <c r="B9" s="1394">
        <v>4160</v>
      </c>
      <c r="C9" s="1501">
        <v>8.1199999999999992</v>
      </c>
      <c r="D9" s="1394">
        <v>12901</v>
      </c>
      <c r="E9" s="1394">
        <v>11365</v>
      </c>
      <c r="F9" s="1394">
        <v>548</v>
      </c>
      <c r="G9" s="1394">
        <v>483</v>
      </c>
      <c r="H9" s="1394">
        <v>2574</v>
      </c>
      <c r="I9" s="1394">
        <v>101</v>
      </c>
      <c r="J9" s="1394">
        <v>1485</v>
      </c>
      <c r="K9" s="1779">
        <v>61.9</v>
      </c>
      <c r="L9" s="1779">
        <v>64.3</v>
      </c>
      <c r="M9" s="1778"/>
      <c r="N9" s="1778"/>
    </row>
    <row r="10" spans="1:14" ht="16.8" customHeight="1">
      <c r="A10" s="1767" t="s">
        <v>3213</v>
      </c>
      <c r="B10" s="1767"/>
      <c r="C10" s="1767"/>
      <c r="D10" s="1767"/>
      <c r="E10" s="1767"/>
      <c r="F10" s="1767"/>
      <c r="G10" s="1767"/>
      <c r="H10" s="1767"/>
      <c r="I10" s="1767"/>
      <c r="J10" s="1767"/>
      <c r="K10" s="1767"/>
      <c r="L10" s="1767"/>
    </row>
    <row r="12" spans="1:14" ht="30" customHeight="1" thickBot="1">
      <c r="A12" s="1770" t="s">
        <v>3235</v>
      </c>
      <c r="B12" s="1770"/>
    </row>
    <row r="13" spans="1:14" ht="16.8" customHeight="1">
      <c r="A13" s="2684" t="s">
        <v>2924</v>
      </c>
      <c r="B13" s="2680" t="s">
        <v>3217</v>
      </c>
      <c r="C13" s="2680" t="s">
        <v>3236</v>
      </c>
      <c r="D13" s="2680" t="s">
        <v>3219</v>
      </c>
      <c r="E13" s="2680" t="s">
        <v>3220</v>
      </c>
      <c r="F13" s="2680" t="s">
        <v>3237</v>
      </c>
      <c r="G13" s="2680" t="s">
        <v>3238</v>
      </c>
      <c r="H13" s="2682" t="s">
        <v>3223</v>
      </c>
      <c r="I13" s="2688" t="s">
        <v>3225</v>
      </c>
    </row>
    <row r="14" spans="1:14" ht="16.8" customHeight="1">
      <c r="A14" s="2685"/>
      <c r="B14" s="2681"/>
      <c r="C14" s="2681"/>
      <c r="D14" s="2681"/>
      <c r="E14" s="2681"/>
      <c r="F14" s="2681"/>
      <c r="G14" s="2681"/>
      <c r="H14" s="2683"/>
      <c r="I14" s="2689"/>
    </row>
    <row r="15" spans="1:14">
      <c r="A15" s="1774"/>
      <c r="B15" s="1775" t="s">
        <v>3230</v>
      </c>
      <c r="C15" s="1776" t="s">
        <v>3231</v>
      </c>
      <c r="D15" s="1775" t="s">
        <v>3231</v>
      </c>
      <c r="E15" s="1775" t="s">
        <v>3233</v>
      </c>
      <c r="F15" s="1775" t="s">
        <v>3233</v>
      </c>
      <c r="G15" s="1775" t="s">
        <v>3230</v>
      </c>
      <c r="H15" s="1775" t="s">
        <v>3230</v>
      </c>
      <c r="I15" s="1775" t="s">
        <v>1026</v>
      </c>
    </row>
    <row r="16" spans="1:14" ht="19.2" customHeight="1">
      <c r="A16" s="1485" t="s">
        <v>3234</v>
      </c>
      <c r="B16" s="1387">
        <v>370</v>
      </c>
      <c r="C16" s="1389">
        <v>1170</v>
      </c>
      <c r="D16" s="1387">
        <v>1011</v>
      </c>
      <c r="E16" s="1387">
        <v>707</v>
      </c>
      <c r="F16" s="1387">
        <v>611</v>
      </c>
      <c r="G16" s="1387">
        <v>186</v>
      </c>
      <c r="H16" s="1387">
        <v>184</v>
      </c>
      <c r="I16" s="1777">
        <v>50.270270270270267</v>
      </c>
      <c r="J16" s="1778"/>
    </row>
    <row r="17" spans="1:10" ht="19.2" customHeight="1">
      <c r="A17" s="1485">
        <v>2</v>
      </c>
      <c r="B17" s="1387">
        <v>346</v>
      </c>
      <c r="C17" s="1389">
        <v>1138</v>
      </c>
      <c r="D17" s="1387">
        <v>948</v>
      </c>
      <c r="E17" s="1387">
        <v>709</v>
      </c>
      <c r="F17" s="1387">
        <v>591</v>
      </c>
      <c r="G17" s="1387">
        <v>174</v>
      </c>
      <c r="H17" s="1387">
        <v>172</v>
      </c>
      <c r="I17" s="1777">
        <v>50.289017341040463</v>
      </c>
      <c r="J17" s="1778"/>
    </row>
    <row r="18" spans="1:10" ht="19.2" customHeight="1">
      <c r="A18" s="1485">
        <v>3</v>
      </c>
      <c r="B18" s="1387">
        <v>365</v>
      </c>
      <c r="C18" s="1389">
        <v>1201</v>
      </c>
      <c r="D18" s="1387">
        <v>1000</v>
      </c>
      <c r="E18" s="1387">
        <v>774</v>
      </c>
      <c r="F18" s="1387">
        <v>645</v>
      </c>
      <c r="G18" s="1387">
        <v>175</v>
      </c>
      <c r="H18" s="1387">
        <v>190</v>
      </c>
      <c r="I18" s="1777">
        <v>47.9</v>
      </c>
      <c r="J18" s="1778"/>
    </row>
    <row r="19" spans="1:10" ht="19.2" customHeight="1">
      <c r="A19" s="1485">
        <v>4</v>
      </c>
      <c r="B19" s="1387">
        <v>369</v>
      </c>
      <c r="C19" s="1389">
        <v>1180</v>
      </c>
      <c r="D19" s="1387">
        <v>1010</v>
      </c>
      <c r="E19" s="1387">
        <v>777</v>
      </c>
      <c r="F19" s="1387">
        <v>665</v>
      </c>
      <c r="G19" s="1387">
        <v>181</v>
      </c>
      <c r="H19" s="1387">
        <v>184</v>
      </c>
      <c r="I19" s="1777">
        <v>49.1</v>
      </c>
      <c r="J19" s="1778"/>
    </row>
    <row r="20" spans="1:10" ht="19.2" customHeight="1" thickBot="1">
      <c r="A20" s="1504">
        <v>5</v>
      </c>
      <c r="B20" s="1394">
        <v>378</v>
      </c>
      <c r="C20" s="1396">
        <v>1306</v>
      </c>
      <c r="D20" s="1394">
        <v>1033</v>
      </c>
      <c r="E20" s="1394">
        <v>894</v>
      </c>
      <c r="F20" s="1394">
        <v>707</v>
      </c>
      <c r="G20" s="1394">
        <v>169</v>
      </c>
      <c r="H20" s="1394">
        <v>206</v>
      </c>
      <c r="I20" s="1779">
        <v>44.7</v>
      </c>
      <c r="J20" s="1778"/>
    </row>
    <row r="21" spans="1:10" ht="16.8" customHeight="1">
      <c r="A21" s="1767" t="s">
        <v>3239</v>
      </c>
      <c r="B21" s="1767"/>
      <c r="C21" s="1767"/>
      <c r="D21" s="1767"/>
      <c r="E21" s="1767"/>
      <c r="F21" s="1767"/>
      <c r="G21" s="1767"/>
      <c r="H21" s="1767"/>
      <c r="I21" s="1767"/>
    </row>
  </sheetData>
  <mergeCells count="19">
    <mergeCell ref="I13:I14"/>
    <mergeCell ref="H2:I2"/>
    <mergeCell ref="J2:J3"/>
    <mergeCell ref="K2:K3"/>
    <mergeCell ref="L2:L3"/>
    <mergeCell ref="G2:G3"/>
    <mergeCell ref="G13:G14"/>
    <mergeCell ref="H13:H14"/>
    <mergeCell ref="F13:F14"/>
    <mergeCell ref="A2:A3"/>
    <mergeCell ref="B2:B3"/>
    <mergeCell ref="C2:D2"/>
    <mergeCell ref="E2:E3"/>
    <mergeCell ref="F2:F3"/>
    <mergeCell ref="A13:A14"/>
    <mergeCell ref="B13:B14"/>
    <mergeCell ref="C13:C14"/>
    <mergeCell ref="D13:D14"/>
    <mergeCell ref="E13:E14"/>
  </mergeCells>
  <phoneticPr fontId="4"/>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33A3-D6DD-4D41-8FCF-07EB24A9A13A}">
  <sheetPr codeName="Sheet6"/>
  <dimension ref="A1:F19"/>
  <sheetViews>
    <sheetView workbookViewId="0"/>
  </sheetViews>
  <sheetFormatPr defaultRowHeight="18.75" customHeight="1"/>
  <cols>
    <col min="1" max="5" width="15.69921875" style="82" customWidth="1"/>
    <col min="6" max="256" width="9" style="82"/>
    <col min="257" max="261" width="7.5" style="82" customWidth="1"/>
    <col min="262" max="512" width="9" style="82"/>
    <col min="513" max="517" width="7.5" style="82" customWidth="1"/>
    <col min="518" max="768" width="9" style="82"/>
    <col min="769" max="773" width="7.5" style="82" customWidth="1"/>
    <col min="774" max="1024" width="9" style="82"/>
    <col min="1025" max="1029" width="7.5" style="82" customWidth="1"/>
    <col min="1030" max="1280" width="9" style="82"/>
    <col min="1281" max="1285" width="7.5" style="82" customWidth="1"/>
    <col min="1286" max="1536" width="9" style="82"/>
    <col min="1537" max="1541" width="7.5" style="82" customWidth="1"/>
    <col min="1542" max="1792" width="9" style="82"/>
    <col min="1793" max="1797" width="7.5" style="82" customWidth="1"/>
    <col min="1798" max="2048" width="9" style="82"/>
    <col min="2049" max="2053" width="7.5" style="82" customWidth="1"/>
    <col min="2054" max="2304" width="9" style="82"/>
    <col min="2305" max="2309" width="7.5" style="82" customWidth="1"/>
    <col min="2310" max="2560" width="9" style="82"/>
    <col min="2561" max="2565" width="7.5" style="82" customWidth="1"/>
    <col min="2566" max="2816" width="9" style="82"/>
    <col min="2817" max="2821" width="7.5" style="82" customWidth="1"/>
    <col min="2822" max="3072" width="9" style="82"/>
    <col min="3073" max="3077" width="7.5" style="82" customWidth="1"/>
    <col min="3078" max="3328" width="9" style="82"/>
    <col min="3329" max="3333" width="7.5" style="82" customWidth="1"/>
    <col min="3334" max="3584" width="9" style="82"/>
    <col min="3585" max="3589" width="7.5" style="82" customWidth="1"/>
    <col min="3590" max="3840" width="9" style="82"/>
    <col min="3841" max="3845" width="7.5" style="82" customWidth="1"/>
    <col min="3846" max="4096" width="9" style="82"/>
    <col min="4097" max="4101" width="7.5" style="82" customWidth="1"/>
    <col min="4102" max="4352" width="9" style="82"/>
    <col min="4353" max="4357" width="7.5" style="82" customWidth="1"/>
    <col min="4358" max="4608" width="9" style="82"/>
    <col min="4609" max="4613" width="7.5" style="82" customWidth="1"/>
    <col min="4614" max="4864" width="9" style="82"/>
    <col min="4865" max="4869" width="7.5" style="82" customWidth="1"/>
    <col min="4870" max="5120" width="9" style="82"/>
    <col min="5121" max="5125" width="7.5" style="82" customWidth="1"/>
    <col min="5126" max="5376" width="9" style="82"/>
    <col min="5377" max="5381" width="7.5" style="82" customWidth="1"/>
    <col min="5382" max="5632" width="9" style="82"/>
    <col min="5633" max="5637" width="7.5" style="82" customWidth="1"/>
    <col min="5638" max="5888" width="9" style="82"/>
    <col min="5889" max="5893" width="7.5" style="82" customWidth="1"/>
    <col min="5894" max="6144" width="9" style="82"/>
    <col min="6145" max="6149" width="7.5" style="82" customWidth="1"/>
    <col min="6150" max="6400" width="9" style="82"/>
    <col min="6401" max="6405" width="7.5" style="82" customWidth="1"/>
    <col min="6406" max="6656" width="9" style="82"/>
    <col min="6657" max="6661" width="7.5" style="82" customWidth="1"/>
    <col min="6662" max="6912" width="9" style="82"/>
    <col min="6913" max="6917" width="7.5" style="82" customWidth="1"/>
    <col min="6918" max="7168" width="9" style="82"/>
    <col min="7169" max="7173" width="7.5" style="82" customWidth="1"/>
    <col min="7174" max="7424" width="9" style="82"/>
    <col min="7425" max="7429" width="7.5" style="82" customWidth="1"/>
    <col min="7430" max="7680" width="9" style="82"/>
    <col min="7681" max="7685" width="7.5" style="82" customWidth="1"/>
    <col min="7686" max="7936" width="9" style="82"/>
    <col min="7937" max="7941" width="7.5" style="82" customWidth="1"/>
    <col min="7942" max="8192" width="9" style="82"/>
    <col min="8193" max="8197" width="7.5" style="82" customWidth="1"/>
    <col min="8198" max="8448" width="9" style="82"/>
    <col min="8449" max="8453" width="7.5" style="82" customWidth="1"/>
    <col min="8454" max="8704" width="9" style="82"/>
    <col min="8705" max="8709" width="7.5" style="82" customWidth="1"/>
    <col min="8710" max="8960" width="9" style="82"/>
    <col min="8961" max="8965" width="7.5" style="82" customWidth="1"/>
    <col min="8966" max="9216" width="9" style="82"/>
    <col min="9217" max="9221" width="7.5" style="82" customWidth="1"/>
    <col min="9222" max="9472" width="9" style="82"/>
    <col min="9473" max="9477" width="7.5" style="82" customWidth="1"/>
    <col min="9478" max="9728" width="9" style="82"/>
    <col min="9729" max="9733" width="7.5" style="82" customWidth="1"/>
    <col min="9734" max="9984" width="9" style="82"/>
    <col min="9985" max="9989" width="7.5" style="82" customWidth="1"/>
    <col min="9990" max="10240" width="9" style="82"/>
    <col min="10241" max="10245" width="7.5" style="82" customWidth="1"/>
    <col min="10246" max="10496" width="9" style="82"/>
    <col min="10497" max="10501" width="7.5" style="82" customWidth="1"/>
    <col min="10502" max="10752" width="9" style="82"/>
    <col min="10753" max="10757" width="7.5" style="82" customWidth="1"/>
    <col min="10758" max="11008" width="9" style="82"/>
    <col min="11009" max="11013" width="7.5" style="82" customWidth="1"/>
    <col min="11014" max="11264" width="9" style="82"/>
    <col min="11265" max="11269" width="7.5" style="82" customWidth="1"/>
    <col min="11270" max="11520" width="9" style="82"/>
    <col min="11521" max="11525" width="7.5" style="82" customWidth="1"/>
    <col min="11526" max="11776" width="9" style="82"/>
    <col min="11777" max="11781" width="7.5" style="82" customWidth="1"/>
    <col min="11782" max="12032" width="9" style="82"/>
    <col min="12033" max="12037" width="7.5" style="82" customWidth="1"/>
    <col min="12038" max="12288" width="9" style="82"/>
    <col min="12289" max="12293" width="7.5" style="82" customWidth="1"/>
    <col min="12294" max="12544" width="9" style="82"/>
    <col min="12545" max="12549" width="7.5" style="82" customWidth="1"/>
    <col min="12550" max="12800" width="9" style="82"/>
    <col min="12801" max="12805" width="7.5" style="82" customWidth="1"/>
    <col min="12806" max="13056" width="9" style="82"/>
    <col min="13057" max="13061" width="7.5" style="82" customWidth="1"/>
    <col min="13062" max="13312" width="9" style="82"/>
    <col min="13313" max="13317" width="7.5" style="82" customWidth="1"/>
    <col min="13318" max="13568" width="9" style="82"/>
    <col min="13569" max="13573" width="7.5" style="82" customWidth="1"/>
    <col min="13574" max="13824" width="9" style="82"/>
    <col min="13825" max="13829" width="7.5" style="82" customWidth="1"/>
    <col min="13830" max="14080" width="9" style="82"/>
    <col min="14081" max="14085" width="7.5" style="82" customWidth="1"/>
    <col min="14086" max="14336" width="9" style="82"/>
    <col min="14337" max="14341" width="7.5" style="82" customWidth="1"/>
    <col min="14342" max="14592" width="9" style="82"/>
    <col min="14593" max="14597" width="7.5" style="82" customWidth="1"/>
    <col min="14598" max="14848" width="9" style="82"/>
    <col min="14849" max="14853" width="7.5" style="82" customWidth="1"/>
    <col min="14854" max="15104" width="9" style="82"/>
    <col min="15105" max="15109" width="7.5" style="82" customWidth="1"/>
    <col min="15110" max="15360" width="9" style="82"/>
    <col min="15361" max="15365" width="7.5" style="82" customWidth="1"/>
    <col min="15366" max="15616" width="9" style="82"/>
    <col min="15617" max="15621" width="7.5" style="82" customWidth="1"/>
    <col min="15622" max="15872" width="9" style="82"/>
    <col min="15873" max="15877" width="7.5" style="82" customWidth="1"/>
    <col min="15878" max="16128" width="9" style="82"/>
    <col min="16129" max="16133" width="7.5" style="82" customWidth="1"/>
    <col min="16134" max="16384" width="9" style="82"/>
  </cols>
  <sheetData>
    <row r="1" spans="1:6" ht="30" customHeight="1" thickBot="1">
      <c r="A1" s="95" t="s">
        <v>159</v>
      </c>
      <c r="B1" s="95"/>
      <c r="C1" s="95"/>
      <c r="D1" s="96"/>
      <c r="E1" s="13" t="s">
        <v>160</v>
      </c>
    </row>
    <row r="2" spans="1:6" s="11" customFormat="1" ht="18.75" customHeight="1">
      <c r="A2" s="2180" t="s">
        <v>161</v>
      </c>
      <c r="B2" s="2186" t="s">
        <v>162</v>
      </c>
      <c r="C2" s="2202" t="s">
        <v>163</v>
      </c>
      <c r="D2" s="2202" t="s">
        <v>164</v>
      </c>
      <c r="E2" s="2187" t="s">
        <v>165</v>
      </c>
    </row>
    <row r="3" spans="1:6" s="11" customFormat="1" ht="18.75" customHeight="1">
      <c r="A3" s="2182"/>
      <c r="B3" s="2201"/>
      <c r="C3" s="2203"/>
      <c r="D3" s="2203"/>
      <c r="E3" s="2199"/>
    </row>
    <row r="4" spans="1:6" s="11" customFormat="1" ht="18.75" customHeight="1">
      <c r="A4" s="97"/>
      <c r="B4" s="98" t="s">
        <v>166</v>
      </c>
      <c r="C4" s="98" t="s">
        <v>167</v>
      </c>
      <c r="D4" s="98" t="s">
        <v>167</v>
      </c>
      <c r="E4" s="36" t="s">
        <v>167</v>
      </c>
    </row>
    <row r="5" spans="1:6" s="11" customFormat="1" ht="18.75" customHeight="1">
      <c r="A5" s="40" t="s">
        <v>168</v>
      </c>
      <c r="B5" s="99">
        <v>9041</v>
      </c>
      <c r="C5" s="99">
        <v>35817</v>
      </c>
      <c r="D5" s="99">
        <v>17088</v>
      </c>
      <c r="E5" s="100">
        <v>18729</v>
      </c>
    </row>
    <row r="6" spans="1:6" s="11" customFormat="1" ht="18.75" customHeight="1">
      <c r="A6" s="40">
        <v>50</v>
      </c>
      <c r="B6" s="99">
        <v>9830</v>
      </c>
      <c r="C6" s="99">
        <v>37311</v>
      </c>
      <c r="D6" s="99">
        <v>18243</v>
      </c>
      <c r="E6" s="100">
        <v>19068</v>
      </c>
    </row>
    <row r="7" spans="1:6" s="11" customFormat="1" ht="18.75" customHeight="1">
      <c r="A7" s="40">
        <v>55</v>
      </c>
      <c r="B7" s="99">
        <v>10441</v>
      </c>
      <c r="C7" s="99">
        <v>36083</v>
      </c>
      <c r="D7" s="99">
        <v>17521</v>
      </c>
      <c r="E7" s="100">
        <v>18562</v>
      </c>
    </row>
    <row r="8" spans="1:6" s="11" customFormat="1" ht="18.75" customHeight="1">
      <c r="A8" s="40">
        <v>60</v>
      </c>
      <c r="B8" s="99">
        <v>10432</v>
      </c>
      <c r="C8" s="99">
        <v>35460</v>
      </c>
      <c r="D8" s="99">
        <v>17098</v>
      </c>
      <c r="E8" s="100">
        <v>18362</v>
      </c>
    </row>
    <row r="9" spans="1:6" s="11" customFormat="1" ht="18.75" customHeight="1">
      <c r="A9" s="40" t="s">
        <v>169</v>
      </c>
      <c r="B9" s="99">
        <v>10502</v>
      </c>
      <c r="C9" s="99">
        <v>34300</v>
      </c>
      <c r="D9" s="99">
        <v>16541</v>
      </c>
      <c r="E9" s="100">
        <v>17759</v>
      </c>
    </row>
    <row r="10" spans="1:6" s="11" customFormat="1" ht="18.75" customHeight="1">
      <c r="A10" s="40">
        <v>7</v>
      </c>
      <c r="B10" s="99">
        <v>10788</v>
      </c>
      <c r="C10" s="99">
        <v>33655</v>
      </c>
      <c r="D10" s="99">
        <v>16367</v>
      </c>
      <c r="E10" s="100">
        <v>17288</v>
      </c>
    </row>
    <row r="11" spans="1:6" s="11" customFormat="1" ht="18.75" customHeight="1">
      <c r="A11" s="40">
        <v>12</v>
      </c>
      <c r="B11" s="99">
        <v>11244</v>
      </c>
      <c r="C11" s="99">
        <v>33550</v>
      </c>
      <c r="D11" s="99">
        <v>16308</v>
      </c>
      <c r="E11" s="100">
        <v>17242</v>
      </c>
    </row>
    <row r="12" spans="1:6" s="11" customFormat="1" ht="18.75" customHeight="1">
      <c r="A12" s="40">
        <v>17</v>
      </c>
      <c r="B12" s="101">
        <v>11240</v>
      </c>
      <c r="C12" s="101">
        <v>32145</v>
      </c>
      <c r="D12" s="101">
        <v>15571</v>
      </c>
      <c r="E12" s="102">
        <v>16574</v>
      </c>
    </row>
    <row r="13" spans="1:6" s="11" customFormat="1" ht="18.75" customHeight="1">
      <c r="A13" s="79">
        <v>22</v>
      </c>
      <c r="B13" s="101">
        <v>11054</v>
      </c>
      <c r="C13" s="101">
        <v>29801</v>
      </c>
      <c r="D13" s="101">
        <v>14429</v>
      </c>
      <c r="E13" s="102">
        <v>15372</v>
      </c>
    </row>
    <row r="14" spans="1:6" s="11" customFormat="1" ht="18.75" customHeight="1">
      <c r="A14" s="79">
        <v>27</v>
      </c>
      <c r="B14" s="101">
        <v>10826</v>
      </c>
      <c r="C14" s="101">
        <v>28041</v>
      </c>
      <c r="D14" s="101">
        <v>13555</v>
      </c>
      <c r="E14" s="102">
        <v>14486</v>
      </c>
    </row>
    <row r="15" spans="1:6" s="11" customFormat="1" ht="18.75" customHeight="1" thickBot="1">
      <c r="A15" s="79" t="s">
        <v>43</v>
      </c>
      <c r="B15" s="101">
        <v>10739</v>
      </c>
      <c r="C15" s="101">
        <v>26029</v>
      </c>
      <c r="D15" s="101" t="s">
        <v>170</v>
      </c>
      <c r="E15" s="102" t="s">
        <v>171</v>
      </c>
    </row>
    <row r="16" spans="1:6" s="11" customFormat="1" ht="18.75" customHeight="1">
      <c r="A16" s="2200" t="s">
        <v>172</v>
      </c>
      <c r="B16" s="2200"/>
      <c r="C16" s="2200"/>
      <c r="D16" s="93"/>
      <c r="E16" s="93"/>
      <c r="F16" s="104"/>
    </row>
    <row r="17" spans="3:3" s="11" customFormat="1" ht="18.75" customHeight="1"/>
    <row r="18" spans="3:3" s="11" customFormat="1" ht="18.75" customHeight="1"/>
    <row r="19" spans="3:3" ht="18.75" customHeight="1">
      <c r="C19" s="11"/>
    </row>
  </sheetData>
  <mergeCells count="6">
    <mergeCell ref="E2:E3"/>
    <mergeCell ref="A16:C16"/>
    <mergeCell ref="A2:A3"/>
    <mergeCell ref="B2:B3"/>
    <mergeCell ref="C2:C3"/>
    <mergeCell ref="D2:D3"/>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81B56-5A9B-46F4-B143-C7F79C30192E}">
  <sheetPr codeName="Sheet131"/>
  <dimension ref="A1:Q11"/>
  <sheetViews>
    <sheetView workbookViewId="0"/>
  </sheetViews>
  <sheetFormatPr defaultRowHeight="25.8" customHeight="1"/>
  <cols>
    <col min="1" max="1" width="8.796875" style="1431"/>
    <col min="2" max="11" width="6.3984375" style="1431" customWidth="1"/>
    <col min="12" max="257" width="8.796875" style="1431"/>
    <col min="258" max="267" width="6.3984375" style="1431" customWidth="1"/>
    <col min="268" max="513" width="8.796875" style="1431"/>
    <col min="514" max="523" width="6.3984375" style="1431" customWidth="1"/>
    <col min="524" max="769" width="8.796875" style="1431"/>
    <col min="770" max="779" width="6.3984375" style="1431" customWidth="1"/>
    <col min="780" max="1025" width="8.796875" style="1431"/>
    <col min="1026" max="1035" width="6.3984375" style="1431" customWidth="1"/>
    <col min="1036" max="1281" width="8.796875" style="1431"/>
    <col min="1282" max="1291" width="6.3984375" style="1431" customWidth="1"/>
    <col min="1292" max="1537" width="8.796875" style="1431"/>
    <col min="1538" max="1547" width="6.3984375" style="1431" customWidth="1"/>
    <col min="1548" max="1793" width="8.796875" style="1431"/>
    <col min="1794" max="1803" width="6.3984375" style="1431" customWidth="1"/>
    <col min="1804" max="2049" width="8.796875" style="1431"/>
    <col min="2050" max="2059" width="6.3984375" style="1431" customWidth="1"/>
    <col min="2060" max="2305" width="8.796875" style="1431"/>
    <col min="2306" max="2315" width="6.3984375" style="1431" customWidth="1"/>
    <col min="2316" max="2561" width="8.796875" style="1431"/>
    <col min="2562" max="2571" width="6.3984375" style="1431" customWidth="1"/>
    <col min="2572" max="2817" width="8.796875" style="1431"/>
    <col min="2818" max="2827" width="6.3984375" style="1431" customWidth="1"/>
    <col min="2828" max="3073" width="8.796875" style="1431"/>
    <col min="3074" max="3083" width="6.3984375" style="1431" customWidth="1"/>
    <col min="3084" max="3329" width="8.796875" style="1431"/>
    <col min="3330" max="3339" width="6.3984375" style="1431" customWidth="1"/>
    <col min="3340" max="3585" width="8.796875" style="1431"/>
    <col min="3586" max="3595" width="6.3984375" style="1431" customWidth="1"/>
    <col min="3596" max="3841" width="8.796875" style="1431"/>
    <col min="3842" max="3851" width="6.3984375" style="1431" customWidth="1"/>
    <col min="3852" max="4097" width="8.796875" style="1431"/>
    <col min="4098" max="4107" width="6.3984375" style="1431" customWidth="1"/>
    <col min="4108" max="4353" width="8.796875" style="1431"/>
    <col min="4354" max="4363" width="6.3984375" style="1431" customWidth="1"/>
    <col min="4364" max="4609" width="8.796875" style="1431"/>
    <col min="4610" max="4619" width="6.3984375" style="1431" customWidth="1"/>
    <col min="4620" max="4865" width="8.796875" style="1431"/>
    <col min="4866" max="4875" width="6.3984375" style="1431" customWidth="1"/>
    <col min="4876" max="5121" width="8.796875" style="1431"/>
    <col min="5122" max="5131" width="6.3984375" style="1431" customWidth="1"/>
    <col min="5132" max="5377" width="8.796875" style="1431"/>
    <col min="5378" max="5387" width="6.3984375" style="1431" customWidth="1"/>
    <col min="5388" max="5633" width="8.796875" style="1431"/>
    <col min="5634" max="5643" width="6.3984375" style="1431" customWidth="1"/>
    <col min="5644" max="5889" width="8.796875" style="1431"/>
    <col min="5890" max="5899" width="6.3984375" style="1431" customWidth="1"/>
    <col min="5900" max="6145" width="8.796875" style="1431"/>
    <col min="6146" max="6155" width="6.3984375" style="1431" customWidth="1"/>
    <col min="6156" max="6401" width="8.796875" style="1431"/>
    <col min="6402" max="6411" width="6.3984375" style="1431" customWidth="1"/>
    <col min="6412" max="6657" width="8.796875" style="1431"/>
    <col min="6658" max="6667" width="6.3984375" style="1431" customWidth="1"/>
    <col min="6668" max="6913" width="8.796875" style="1431"/>
    <col min="6914" max="6923" width="6.3984375" style="1431" customWidth="1"/>
    <col min="6924" max="7169" width="8.796875" style="1431"/>
    <col min="7170" max="7179" width="6.3984375" style="1431" customWidth="1"/>
    <col min="7180" max="7425" width="8.796875" style="1431"/>
    <col min="7426" max="7435" width="6.3984375" style="1431" customWidth="1"/>
    <col min="7436" max="7681" width="8.796875" style="1431"/>
    <col min="7682" max="7691" width="6.3984375" style="1431" customWidth="1"/>
    <col min="7692" max="7937" width="8.796875" style="1431"/>
    <col min="7938" max="7947" width="6.3984375" style="1431" customWidth="1"/>
    <col min="7948" max="8193" width="8.796875" style="1431"/>
    <col min="8194" max="8203" width="6.3984375" style="1431" customWidth="1"/>
    <col min="8204" max="8449" width="8.796875" style="1431"/>
    <col min="8450" max="8459" width="6.3984375" style="1431" customWidth="1"/>
    <col min="8460" max="8705" width="8.796875" style="1431"/>
    <col min="8706" max="8715" width="6.3984375" style="1431" customWidth="1"/>
    <col min="8716" max="8961" width="8.796875" style="1431"/>
    <col min="8962" max="8971" width="6.3984375" style="1431" customWidth="1"/>
    <col min="8972" max="9217" width="8.796875" style="1431"/>
    <col min="9218" max="9227" width="6.3984375" style="1431" customWidth="1"/>
    <col min="9228" max="9473" width="8.796875" style="1431"/>
    <col min="9474" max="9483" width="6.3984375" style="1431" customWidth="1"/>
    <col min="9484" max="9729" width="8.796875" style="1431"/>
    <col min="9730" max="9739" width="6.3984375" style="1431" customWidth="1"/>
    <col min="9740" max="9985" width="8.796875" style="1431"/>
    <col min="9986" max="9995" width="6.3984375" style="1431" customWidth="1"/>
    <col min="9996" max="10241" width="8.796875" style="1431"/>
    <col min="10242" max="10251" width="6.3984375" style="1431" customWidth="1"/>
    <col min="10252" max="10497" width="8.796875" style="1431"/>
    <col min="10498" max="10507" width="6.3984375" style="1431" customWidth="1"/>
    <col min="10508" max="10753" width="8.796875" style="1431"/>
    <col min="10754" max="10763" width="6.3984375" style="1431" customWidth="1"/>
    <col min="10764" max="11009" width="8.796875" style="1431"/>
    <col min="11010" max="11019" width="6.3984375" style="1431" customWidth="1"/>
    <col min="11020" max="11265" width="8.796875" style="1431"/>
    <col min="11266" max="11275" width="6.3984375" style="1431" customWidth="1"/>
    <col min="11276" max="11521" width="8.796875" style="1431"/>
    <col min="11522" max="11531" width="6.3984375" style="1431" customWidth="1"/>
    <col min="11532" max="11777" width="8.796875" style="1431"/>
    <col min="11778" max="11787" width="6.3984375" style="1431" customWidth="1"/>
    <col min="11788" max="12033" width="8.796875" style="1431"/>
    <col min="12034" max="12043" width="6.3984375" style="1431" customWidth="1"/>
    <col min="12044" max="12289" width="8.796875" style="1431"/>
    <col min="12290" max="12299" width="6.3984375" style="1431" customWidth="1"/>
    <col min="12300" max="12545" width="8.796875" style="1431"/>
    <col min="12546" max="12555" width="6.3984375" style="1431" customWidth="1"/>
    <col min="12556" max="12801" width="8.796875" style="1431"/>
    <col min="12802" max="12811" width="6.3984375" style="1431" customWidth="1"/>
    <col min="12812" max="13057" width="8.796875" style="1431"/>
    <col min="13058" max="13067" width="6.3984375" style="1431" customWidth="1"/>
    <col min="13068" max="13313" width="8.796875" style="1431"/>
    <col min="13314" max="13323" width="6.3984375" style="1431" customWidth="1"/>
    <col min="13324" max="13569" width="8.796875" style="1431"/>
    <col min="13570" max="13579" width="6.3984375" style="1431" customWidth="1"/>
    <col min="13580" max="13825" width="8.796875" style="1431"/>
    <col min="13826" max="13835" width="6.3984375" style="1431" customWidth="1"/>
    <col min="13836" max="14081" width="8.796875" style="1431"/>
    <col min="14082" max="14091" width="6.3984375" style="1431" customWidth="1"/>
    <col min="14092" max="14337" width="8.796875" style="1431"/>
    <col min="14338" max="14347" width="6.3984375" style="1431" customWidth="1"/>
    <col min="14348" max="14593" width="8.796875" style="1431"/>
    <col min="14594" max="14603" width="6.3984375" style="1431" customWidth="1"/>
    <col min="14604" max="14849" width="8.796875" style="1431"/>
    <col min="14850" max="14859" width="6.3984375" style="1431" customWidth="1"/>
    <col min="14860" max="15105" width="8.796875" style="1431"/>
    <col min="15106" max="15115" width="6.3984375" style="1431" customWidth="1"/>
    <col min="15116" max="15361" width="8.796875" style="1431"/>
    <col min="15362" max="15371" width="6.3984375" style="1431" customWidth="1"/>
    <col min="15372" max="15617" width="8.796875" style="1431"/>
    <col min="15618" max="15627" width="6.3984375" style="1431" customWidth="1"/>
    <col min="15628" max="15873" width="8.796875" style="1431"/>
    <col min="15874" max="15883" width="6.3984375" style="1431" customWidth="1"/>
    <col min="15884" max="16129" width="8.796875" style="1431"/>
    <col min="16130" max="16139" width="6.3984375" style="1431" customWidth="1"/>
    <col min="16140" max="16384" width="8.796875" style="1431"/>
  </cols>
  <sheetData>
    <row r="1" spans="1:17" ht="30" customHeight="1" thickBot="1">
      <c r="A1" s="1770" t="s">
        <v>3240</v>
      </c>
      <c r="B1" s="1770"/>
      <c r="C1" s="1770"/>
      <c r="D1" s="1756"/>
      <c r="E1" s="1756"/>
      <c r="F1" s="1756"/>
      <c r="G1" s="1756"/>
      <c r="H1" s="1756"/>
      <c r="I1" s="1756"/>
      <c r="J1" s="1756"/>
      <c r="K1" s="1756"/>
    </row>
    <row r="2" spans="1:17" ht="25.8" customHeight="1">
      <c r="A2" s="2499" t="s">
        <v>3241</v>
      </c>
      <c r="B2" s="2693" t="s">
        <v>25</v>
      </c>
      <c r="C2" s="2693"/>
      <c r="D2" s="2693" t="s">
        <v>3242</v>
      </c>
      <c r="E2" s="2693"/>
      <c r="F2" s="2693" t="s">
        <v>3243</v>
      </c>
      <c r="G2" s="2693"/>
      <c r="H2" s="2693" t="s">
        <v>3244</v>
      </c>
      <c r="I2" s="2693"/>
      <c r="J2" s="2686" t="s">
        <v>33</v>
      </c>
      <c r="K2" s="2692"/>
      <c r="L2" s="1756"/>
      <c r="M2" s="1756"/>
      <c r="N2" s="1756"/>
      <c r="O2" s="1756"/>
      <c r="P2" s="1756"/>
      <c r="Q2" s="1756"/>
    </row>
    <row r="3" spans="1:17" ht="66.599999999999994" customHeight="1">
      <c r="A3" s="2431"/>
      <c r="B3" s="1780" t="s">
        <v>3245</v>
      </c>
      <c r="C3" s="1781" t="s">
        <v>3246</v>
      </c>
      <c r="D3" s="1780" t="s">
        <v>3247</v>
      </c>
      <c r="E3" s="1781" t="s">
        <v>3246</v>
      </c>
      <c r="F3" s="1780" t="s">
        <v>3247</v>
      </c>
      <c r="G3" s="1781" t="s">
        <v>3246</v>
      </c>
      <c r="H3" s="1780" t="s">
        <v>3247</v>
      </c>
      <c r="I3" s="1781" t="s">
        <v>3246</v>
      </c>
      <c r="J3" s="1780" t="s">
        <v>3247</v>
      </c>
      <c r="K3" s="1782" t="s">
        <v>3246</v>
      </c>
      <c r="L3" s="1756"/>
      <c r="M3" s="1756"/>
      <c r="N3" s="1756"/>
      <c r="O3" s="1756"/>
      <c r="P3" s="1756"/>
      <c r="Q3" s="1756"/>
    </row>
    <row r="4" spans="1:17" ht="25.8" customHeight="1">
      <c r="A4" s="1485"/>
      <c r="B4" s="1783" t="s">
        <v>3248</v>
      </c>
      <c r="C4" s="1784" t="s">
        <v>3249</v>
      </c>
      <c r="D4" s="1783" t="s">
        <v>3248</v>
      </c>
      <c r="E4" s="1784" t="s">
        <v>3249</v>
      </c>
      <c r="F4" s="1783" t="s">
        <v>3248</v>
      </c>
      <c r="G4" s="1784" t="s">
        <v>3249</v>
      </c>
      <c r="H4" s="1783" t="s">
        <v>3248</v>
      </c>
      <c r="I4" s="1784" t="s">
        <v>3249</v>
      </c>
      <c r="J4" s="1783" t="s">
        <v>3248</v>
      </c>
      <c r="K4" s="1785" t="s">
        <v>3249</v>
      </c>
      <c r="L4" s="1756"/>
      <c r="M4" s="1756"/>
      <c r="N4" s="1756"/>
      <c r="O4" s="1756"/>
      <c r="P4" s="1756"/>
      <c r="Q4" s="1756"/>
    </row>
    <row r="5" spans="1:17" ht="25.8" customHeight="1">
      <c r="A5" s="1485" t="s">
        <v>3234</v>
      </c>
      <c r="B5" s="1786">
        <v>13430</v>
      </c>
      <c r="C5" s="1786">
        <v>2630</v>
      </c>
      <c r="D5" s="1786">
        <v>11438</v>
      </c>
      <c r="E5" s="1786">
        <v>1958</v>
      </c>
      <c r="F5" s="1786">
        <v>19</v>
      </c>
      <c r="G5" s="1786">
        <v>63</v>
      </c>
      <c r="H5" s="1787" t="s">
        <v>431</v>
      </c>
      <c r="I5" s="1787" t="s">
        <v>431</v>
      </c>
      <c r="J5" s="1786">
        <v>1973</v>
      </c>
      <c r="K5" s="1761">
        <v>609</v>
      </c>
      <c r="L5" s="1756"/>
      <c r="M5" s="1756"/>
      <c r="N5" s="1788"/>
      <c r="O5" s="1788"/>
      <c r="P5" s="1756"/>
      <c r="Q5" s="1756"/>
    </row>
    <row r="6" spans="1:17" ht="25.8" customHeight="1">
      <c r="A6" s="1485">
        <v>2</v>
      </c>
      <c r="B6" s="1786">
        <v>13506</v>
      </c>
      <c r="C6" s="1786">
        <v>2662</v>
      </c>
      <c r="D6" s="1786">
        <v>11506</v>
      </c>
      <c r="E6" s="1786">
        <v>2022</v>
      </c>
      <c r="F6" s="1786">
        <v>18</v>
      </c>
      <c r="G6" s="1786">
        <v>63</v>
      </c>
      <c r="H6" s="1787" t="s">
        <v>431</v>
      </c>
      <c r="I6" s="1787" t="s">
        <v>431</v>
      </c>
      <c r="J6" s="1786">
        <v>1982</v>
      </c>
      <c r="K6" s="1761">
        <v>577</v>
      </c>
      <c r="L6" s="1756"/>
      <c r="M6" s="1756"/>
      <c r="N6" s="1788"/>
      <c r="O6" s="1788"/>
      <c r="P6" s="1756"/>
      <c r="Q6" s="1756"/>
    </row>
    <row r="7" spans="1:17" ht="25.8" customHeight="1">
      <c r="A7" s="1485">
        <v>3</v>
      </c>
      <c r="B7" s="1786">
        <v>13549</v>
      </c>
      <c r="C7" s="1786">
        <v>2627</v>
      </c>
      <c r="D7" s="1786">
        <v>11546</v>
      </c>
      <c r="E7" s="1786">
        <v>1975</v>
      </c>
      <c r="F7" s="1786">
        <v>18</v>
      </c>
      <c r="G7" s="1786">
        <v>67</v>
      </c>
      <c r="H7" s="1787" t="s">
        <v>305</v>
      </c>
      <c r="I7" s="1787" t="s">
        <v>305</v>
      </c>
      <c r="J7" s="1786">
        <v>1985</v>
      </c>
      <c r="K7" s="1761">
        <v>585</v>
      </c>
      <c r="L7" s="1756"/>
      <c r="M7" s="1756"/>
      <c r="N7" s="1788"/>
      <c r="O7" s="1788"/>
      <c r="P7" s="1756"/>
      <c r="Q7" s="1756"/>
    </row>
    <row r="8" spans="1:17" ht="25.8" customHeight="1">
      <c r="A8" s="1485">
        <v>4</v>
      </c>
      <c r="B8" s="1786">
        <v>13591</v>
      </c>
      <c r="C8" s="1786">
        <v>2610</v>
      </c>
      <c r="D8" s="1786">
        <v>11590</v>
      </c>
      <c r="E8" s="1786">
        <v>1940</v>
      </c>
      <c r="F8" s="1786">
        <v>18</v>
      </c>
      <c r="G8" s="1786">
        <v>77</v>
      </c>
      <c r="H8" s="1787" t="s">
        <v>305</v>
      </c>
      <c r="I8" s="1787" t="s">
        <v>305</v>
      </c>
      <c r="J8" s="1786">
        <v>1983</v>
      </c>
      <c r="K8" s="1761">
        <v>593</v>
      </c>
      <c r="L8" s="1756"/>
      <c r="M8" s="1756"/>
      <c r="N8" s="1788"/>
      <c r="O8" s="1788"/>
      <c r="P8" s="1756"/>
      <c r="Q8" s="1756"/>
    </row>
    <row r="9" spans="1:17" ht="25.8" customHeight="1" thickBot="1">
      <c r="A9" s="1485">
        <v>5</v>
      </c>
      <c r="B9" s="1789">
        <v>13344</v>
      </c>
      <c r="C9" s="1789">
        <v>2574</v>
      </c>
      <c r="D9" s="1789">
        <v>11460</v>
      </c>
      <c r="E9" s="1789">
        <v>1904</v>
      </c>
      <c r="F9" s="1789">
        <v>2</v>
      </c>
      <c r="G9" s="1789">
        <v>36</v>
      </c>
      <c r="H9" s="1790" t="s">
        <v>305</v>
      </c>
      <c r="I9" s="1790" t="s">
        <v>305</v>
      </c>
      <c r="J9" s="1789">
        <v>1882</v>
      </c>
      <c r="K9" s="1765">
        <v>634</v>
      </c>
      <c r="L9" s="1756"/>
      <c r="M9" s="1756"/>
      <c r="N9" s="1788"/>
      <c r="O9" s="1788"/>
      <c r="P9" s="1756"/>
      <c r="Q9" s="1756"/>
    </row>
    <row r="10" spans="1:17" ht="25.8" customHeight="1">
      <c r="A10" s="1767" t="s">
        <v>3213</v>
      </c>
      <c r="B10" s="1791"/>
      <c r="C10" s="1479"/>
      <c r="D10" s="1791"/>
      <c r="E10" s="1791"/>
      <c r="F10" s="1791"/>
      <c r="G10" s="1791"/>
      <c r="H10" s="1791"/>
      <c r="I10" s="1791"/>
      <c r="J10" s="1791"/>
      <c r="K10" s="1791"/>
    </row>
    <row r="11" spans="1:17" ht="25.8" customHeight="1">
      <c r="A11" s="1236"/>
    </row>
  </sheetData>
  <mergeCells count="6">
    <mergeCell ref="J2:K2"/>
    <mergeCell ref="A2:A3"/>
    <mergeCell ref="B2:C2"/>
    <mergeCell ref="D2:E2"/>
    <mergeCell ref="F2:G2"/>
    <mergeCell ref="H2:I2"/>
  </mergeCells>
  <phoneticPr fontId="4"/>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A86CC-D3CA-4115-9BD3-3D327BA311AD}">
  <sheetPr codeName="Sheet132"/>
  <dimension ref="A1:D31"/>
  <sheetViews>
    <sheetView workbookViewId="0"/>
  </sheetViews>
  <sheetFormatPr defaultRowHeight="10.8"/>
  <cols>
    <col min="1" max="1" width="15" style="1793" customWidth="1"/>
    <col min="2" max="2" width="30.59765625" style="1793" customWidth="1"/>
    <col min="3" max="3" width="14.5" style="1793" customWidth="1"/>
    <col min="4" max="4" width="19" style="1793" customWidth="1"/>
    <col min="5" max="6" width="3.69921875" style="1793" customWidth="1"/>
    <col min="7" max="7" width="3.296875" style="1793" customWidth="1"/>
    <col min="8" max="11" width="2.796875" style="1793" customWidth="1"/>
    <col min="12" max="256" width="8.796875" style="1793"/>
    <col min="257" max="257" width="15" style="1793" customWidth="1"/>
    <col min="258" max="258" width="26.69921875" style="1793" customWidth="1"/>
    <col min="259" max="259" width="14.5" style="1793" customWidth="1"/>
    <col min="260" max="260" width="19" style="1793" customWidth="1"/>
    <col min="261" max="262" width="3.69921875" style="1793" customWidth="1"/>
    <col min="263" max="263" width="3.296875" style="1793" customWidth="1"/>
    <col min="264" max="267" width="2.796875" style="1793" customWidth="1"/>
    <col min="268" max="512" width="8.796875" style="1793"/>
    <col min="513" max="513" width="15" style="1793" customWidth="1"/>
    <col min="514" max="514" width="26.69921875" style="1793" customWidth="1"/>
    <col min="515" max="515" width="14.5" style="1793" customWidth="1"/>
    <col min="516" max="516" width="19" style="1793" customWidth="1"/>
    <col min="517" max="518" width="3.69921875" style="1793" customWidth="1"/>
    <col min="519" max="519" width="3.296875" style="1793" customWidth="1"/>
    <col min="520" max="523" width="2.796875" style="1793" customWidth="1"/>
    <col min="524" max="768" width="8.796875" style="1793"/>
    <col min="769" max="769" width="15" style="1793" customWidth="1"/>
    <col min="770" max="770" width="26.69921875" style="1793" customWidth="1"/>
    <col min="771" max="771" width="14.5" style="1793" customWidth="1"/>
    <col min="772" max="772" width="19" style="1793" customWidth="1"/>
    <col min="773" max="774" width="3.69921875" style="1793" customWidth="1"/>
    <col min="775" max="775" width="3.296875" style="1793" customWidth="1"/>
    <col min="776" max="779" width="2.796875" style="1793" customWidth="1"/>
    <col min="780" max="1024" width="8.796875" style="1793"/>
    <col min="1025" max="1025" width="15" style="1793" customWidth="1"/>
    <col min="1026" max="1026" width="26.69921875" style="1793" customWidth="1"/>
    <col min="1027" max="1027" width="14.5" style="1793" customWidth="1"/>
    <col min="1028" max="1028" width="19" style="1793" customWidth="1"/>
    <col min="1029" max="1030" width="3.69921875" style="1793" customWidth="1"/>
    <col min="1031" max="1031" width="3.296875" style="1793" customWidth="1"/>
    <col min="1032" max="1035" width="2.796875" style="1793" customWidth="1"/>
    <col min="1036" max="1280" width="8.796875" style="1793"/>
    <col min="1281" max="1281" width="15" style="1793" customWidth="1"/>
    <col min="1282" max="1282" width="26.69921875" style="1793" customWidth="1"/>
    <col min="1283" max="1283" width="14.5" style="1793" customWidth="1"/>
    <col min="1284" max="1284" width="19" style="1793" customWidth="1"/>
    <col min="1285" max="1286" width="3.69921875" style="1793" customWidth="1"/>
    <col min="1287" max="1287" width="3.296875" style="1793" customWidth="1"/>
    <col min="1288" max="1291" width="2.796875" style="1793" customWidth="1"/>
    <col min="1292" max="1536" width="8.796875" style="1793"/>
    <col min="1537" max="1537" width="15" style="1793" customWidth="1"/>
    <col min="1538" max="1538" width="26.69921875" style="1793" customWidth="1"/>
    <col min="1539" max="1539" width="14.5" style="1793" customWidth="1"/>
    <col min="1540" max="1540" width="19" style="1793" customWidth="1"/>
    <col min="1541" max="1542" width="3.69921875" style="1793" customWidth="1"/>
    <col min="1543" max="1543" width="3.296875" style="1793" customWidth="1"/>
    <col min="1544" max="1547" width="2.796875" style="1793" customWidth="1"/>
    <col min="1548" max="1792" width="8.796875" style="1793"/>
    <col min="1793" max="1793" width="15" style="1793" customWidth="1"/>
    <col min="1794" max="1794" width="26.69921875" style="1793" customWidth="1"/>
    <col min="1795" max="1795" width="14.5" style="1793" customWidth="1"/>
    <col min="1796" max="1796" width="19" style="1793" customWidth="1"/>
    <col min="1797" max="1798" width="3.69921875" style="1793" customWidth="1"/>
    <col min="1799" max="1799" width="3.296875" style="1793" customWidth="1"/>
    <col min="1800" max="1803" width="2.796875" style="1793" customWidth="1"/>
    <col min="1804" max="2048" width="8.796875" style="1793"/>
    <col min="2049" max="2049" width="15" style="1793" customWidth="1"/>
    <col min="2050" max="2050" width="26.69921875" style="1793" customWidth="1"/>
    <col min="2051" max="2051" width="14.5" style="1793" customWidth="1"/>
    <col min="2052" max="2052" width="19" style="1793" customWidth="1"/>
    <col min="2053" max="2054" width="3.69921875" style="1793" customWidth="1"/>
    <col min="2055" max="2055" width="3.296875" style="1793" customWidth="1"/>
    <col min="2056" max="2059" width="2.796875" style="1793" customWidth="1"/>
    <col min="2060" max="2304" width="8.796875" style="1793"/>
    <col min="2305" max="2305" width="15" style="1793" customWidth="1"/>
    <col min="2306" max="2306" width="26.69921875" style="1793" customWidth="1"/>
    <col min="2307" max="2307" width="14.5" style="1793" customWidth="1"/>
    <col min="2308" max="2308" width="19" style="1793" customWidth="1"/>
    <col min="2309" max="2310" width="3.69921875" style="1793" customWidth="1"/>
    <col min="2311" max="2311" width="3.296875" style="1793" customWidth="1"/>
    <col min="2312" max="2315" width="2.796875" style="1793" customWidth="1"/>
    <col min="2316" max="2560" width="8.796875" style="1793"/>
    <col min="2561" max="2561" width="15" style="1793" customWidth="1"/>
    <col min="2562" max="2562" width="26.69921875" style="1793" customWidth="1"/>
    <col min="2563" max="2563" width="14.5" style="1793" customWidth="1"/>
    <col min="2564" max="2564" width="19" style="1793" customWidth="1"/>
    <col min="2565" max="2566" width="3.69921875" style="1793" customWidth="1"/>
    <col min="2567" max="2567" width="3.296875" style="1793" customWidth="1"/>
    <col min="2568" max="2571" width="2.796875" style="1793" customWidth="1"/>
    <col min="2572" max="2816" width="8.796875" style="1793"/>
    <col min="2817" max="2817" width="15" style="1793" customWidth="1"/>
    <col min="2818" max="2818" width="26.69921875" style="1793" customWidth="1"/>
    <col min="2819" max="2819" width="14.5" style="1793" customWidth="1"/>
    <col min="2820" max="2820" width="19" style="1793" customWidth="1"/>
    <col min="2821" max="2822" width="3.69921875" style="1793" customWidth="1"/>
    <col min="2823" max="2823" width="3.296875" style="1793" customWidth="1"/>
    <col min="2824" max="2827" width="2.796875" style="1793" customWidth="1"/>
    <col min="2828" max="3072" width="8.796875" style="1793"/>
    <col min="3073" max="3073" width="15" style="1793" customWidth="1"/>
    <col min="3074" max="3074" width="26.69921875" style="1793" customWidth="1"/>
    <col min="3075" max="3075" width="14.5" style="1793" customWidth="1"/>
    <col min="3076" max="3076" width="19" style="1793" customWidth="1"/>
    <col min="3077" max="3078" width="3.69921875" style="1793" customWidth="1"/>
    <col min="3079" max="3079" width="3.296875" style="1793" customWidth="1"/>
    <col min="3080" max="3083" width="2.796875" style="1793" customWidth="1"/>
    <col min="3084" max="3328" width="8.796875" style="1793"/>
    <col min="3329" max="3329" width="15" style="1793" customWidth="1"/>
    <col min="3330" max="3330" width="26.69921875" style="1793" customWidth="1"/>
    <col min="3331" max="3331" width="14.5" style="1793" customWidth="1"/>
    <col min="3332" max="3332" width="19" style="1793" customWidth="1"/>
    <col min="3333" max="3334" width="3.69921875" style="1793" customWidth="1"/>
    <col min="3335" max="3335" width="3.296875" style="1793" customWidth="1"/>
    <col min="3336" max="3339" width="2.796875" style="1793" customWidth="1"/>
    <col min="3340" max="3584" width="8.796875" style="1793"/>
    <col min="3585" max="3585" width="15" style="1793" customWidth="1"/>
    <col min="3586" max="3586" width="26.69921875" style="1793" customWidth="1"/>
    <col min="3587" max="3587" width="14.5" style="1793" customWidth="1"/>
    <col min="3588" max="3588" width="19" style="1793" customWidth="1"/>
    <col min="3589" max="3590" width="3.69921875" style="1793" customWidth="1"/>
    <col min="3591" max="3591" width="3.296875" style="1793" customWidth="1"/>
    <col min="3592" max="3595" width="2.796875" style="1793" customWidth="1"/>
    <col min="3596" max="3840" width="8.796875" style="1793"/>
    <col min="3841" max="3841" width="15" style="1793" customWidth="1"/>
    <col min="3842" max="3842" width="26.69921875" style="1793" customWidth="1"/>
    <col min="3843" max="3843" width="14.5" style="1793" customWidth="1"/>
    <col min="3844" max="3844" width="19" style="1793" customWidth="1"/>
    <col min="3845" max="3846" width="3.69921875" style="1793" customWidth="1"/>
    <col min="3847" max="3847" width="3.296875" style="1793" customWidth="1"/>
    <col min="3848" max="3851" width="2.796875" style="1793" customWidth="1"/>
    <col min="3852" max="4096" width="8.796875" style="1793"/>
    <col min="4097" max="4097" width="15" style="1793" customWidth="1"/>
    <col min="4098" max="4098" width="26.69921875" style="1793" customWidth="1"/>
    <col min="4099" max="4099" width="14.5" style="1793" customWidth="1"/>
    <col min="4100" max="4100" width="19" style="1793" customWidth="1"/>
    <col min="4101" max="4102" width="3.69921875" style="1793" customWidth="1"/>
    <col min="4103" max="4103" width="3.296875" style="1793" customWidth="1"/>
    <col min="4104" max="4107" width="2.796875" style="1793" customWidth="1"/>
    <col min="4108" max="4352" width="8.796875" style="1793"/>
    <col min="4353" max="4353" width="15" style="1793" customWidth="1"/>
    <col min="4354" max="4354" width="26.69921875" style="1793" customWidth="1"/>
    <col min="4355" max="4355" width="14.5" style="1793" customWidth="1"/>
    <col min="4356" max="4356" width="19" style="1793" customWidth="1"/>
    <col min="4357" max="4358" width="3.69921875" style="1793" customWidth="1"/>
    <col min="4359" max="4359" width="3.296875" style="1793" customWidth="1"/>
    <col min="4360" max="4363" width="2.796875" style="1793" customWidth="1"/>
    <col min="4364" max="4608" width="8.796875" style="1793"/>
    <col min="4609" max="4609" width="15" style="1793" customWidth="1"/>
    <col min="4610" max="4610" width="26.69921875" style="1793" customWidth="1"/>
    <col min="4611" max="4611" width="14.5" style="1793" customWidth="1"/>
    <col min="4612" max="4612" width="19" style="1793" customWidth="1"/>
    <col min="4613" max="4614" width="3.69921875" style="1793" customWidth="1"/>
    <col min="4615" max="4615" width="3.296875" style="1793" customWidth="1"/>
    <col min="4616" max="4619" width="2.796875" style="1793" customWidth="1"/>
    <col min="4620" max="4864" width="8.796875" style="1793"/>
    <col min="4865" max="4865" width="15" style="1793" customWidth="1"/>
    <col min="4866" max="4866" width="26.69921875" style="1793" customWidth="1"/>
    <col min="4867" max="4867" width="14.5" style="1793" customWidth="1"/>
    <col min="4868" max="4868" width="19" style="1793" customWidth="1"/>
    <col min="4869" max="4870" width="3.69921875" style="1793" customWidth="1"/>
    <col min="4871" max="4871" width="3.296875" style="1793" customWidth="1"/>
    <col min="4872" max="4875" width="2.796875" style="1793" customWidth="1"/>
    <col min="4876" max="5120" width="8.796875" style="1793"/>
    <col min="5121" max="5121" width="15" style="1793" customWidth="1"/>
    <col min="5122" max="5122" width="26.69921875" style="1793" customWidth="1"/>
    <col min="5123" max="5123" width="14.5" style="1793" customWidth="1"/>
    <col min="5124" max="5124" width="19" style="1793" customWidth="1"/>
    <col min="5125" max="5126" width="3.69921875" style="1793" customWidth="1"/>
    <col min="5127" max="5127" width="3.296875" style="1793" customWidth="1"/>
    <col min="5128" max="5131" width="2.796875" style="1793" customWidth="1"/>
    <col min="5132" max="5376" width="8.796875" style="1793"/>
    <col min="5377" max="5377" width="15" style="1793" customWidth="1"/>
    <col min="5378" max="5378" width="26.69921875" style="1793" customWidth="1"/>
    <col min="5379" max="5379" width="14.5" style="1793" customWidth="1"/>
    <col min="5380" max="5380" width="19" style="1793" customWidth="1"/>
    <col min="5381" max="5382" width="3.69921875" style="1793" customWidth="1"/>
    <col min="5383" max="5383" width="3.296875" style="1793" customWidth="1"/>
    <col min="5384" max="5387" width="2.796875" style="1793" customWidth="1"/>
    <col min="5388" max="5632" width="8.796875" style="1793"/>
    <col min="5633" max="5633" width="15" style="1793" customWidth="1"/>
    <col min="5634" max="5634" width="26.69921875" style="1793" customWidth="1"/>
    <col min="5635" max="5635" width="14.5" style="1793" customWidth="1"/>
    <col min="5636" max="5636" width="19" style="1793" customWidth="1"/>
    <col min="5637" max="5638" width="3.69921875" style="1793" customWidth="1"/>
    <col min="5639" max="5639" width="3.296875" style="1793" customWidth="1"/>
    <col min="5640" max="5643" width="2.796875" style="1793" customWidth="1"/>
    <col min="5644" max="5888" width="8.796875" style="1793"/>
    <col min="5889" max="5889" width="15" style="1793" customWidth="1"/>
    <col min="5890" max="5890" width="26.69921875" style="1793" customWidth="1"/>
    <col min="5891" max="5891" width="14.5" style="1793" customWidth="1"/>
    <col min="5892" max="5892" width="19" style="1793" customWidth="1"/>
    <col min="5893" max="5894" width="3.69921875" style="1793" customWidth="1"/>
    <col min="5895" max="5895" width="3.296875" style="1793" customWidth="1"/>
    <col min="5896" max="5899" width="2.796875" style="1793" customWidth="1"/>
    <col min="5900" max="6144" width="8.796875" style="1793"/>
    <col min="6145" max="6145" width="15" style="1793" customWidth="1"/>
    <col min="6146" max="6146" width="26.69921875" style="1793" customWidth="1"/>
    <col min="6147" max="6147" width="14.5" style="1793" customWidth="1"/>
    <col min="6148" max="6148" width="19" style="1793" customWidth="1"/>
    <col min="6149" max="6150" width="3.69921875" style="1793" customWidth="1"/>
    <col min="6151" max="6151" width="3.296875" style="1793" customWidth="1"/>
    <col min="6152" max="6155" width="2.796875" style="1793" customWidth="1"/>
    <col min="6156" max="6400" width="8.796875" style="1793"/>
    <col min="6401" max="6401" width="15" style="1793" customWidth="1"/>
    <col min="6402" max="6402" width="26.69921875" style="1793" customWidth="1"/>
    <col min="6403" max="6403" width="14.5" style="1793" customWidth="1"/>
    <col min="6404" max="6404" width="19" style="1793" customWidth="1"/>
    <col min="6405" max="6406" width="3.69921875" style="1793" customWidth="1"/>
    <col min="6407" max="6407" width="3.296875" style="1793" customWidth="1"/>
    <col min="6408" max="6411" width="2.796875" style="1793" customWidth="1"/>
    <col min="6412" max="6656" width="8.796875" style="1793"/>
    <col min="6657" max="6657" width="15" style="1793" customWidth="1"/>
    <col min="6658" max="6658" width="26.69921875" style="1793" customWidth="1"/>
    <col min="6659" max="6659" width="14.5" style="1793" customWidth="1"/>
    <col min="6660" max="6660" width="19" style="1793" customWidth="1"/>
    <col min="6661" max="6662" width="3.69921875" style="1793" customWidth="1"/>
    <col min="6663" max="6663" width="3.296875" style="1793" customWidth="1"/>
    <col min="6664" max="6667" width="2.796875" style="1793" customWidth="1"/>
    <col min="6668" max="6912" width="8.796875" style="1793"/>
    <col min="6913" max="6913" width="15" style="1793" customWidth="1"/>
    <col min="6914" max="6914" width="26.69921875" style="1793" customWidth="1"/>
    <col min="6915" max="6915" width="14.5" style="1793" customWidth="1"/>
    <col min="6916" max="6916" width="19" style="1793" customWidth="1"/>
    <col min="6917" max="6918" width="3.69921875" style="1793" customWidth="1"/>
    <col min="6919" max="6919" width="3.296875" style="1793" customWidth="1"/>
    <col min="6920" max="6923" width="2.796875" style="1793" customWidth="1"/>
    <col min="6924" max="7168" width="8.796875" style="1793"/>
    <col min="7169" max="7169" width="15" style="1793" customWidth="1"/>
    <col min="7170" max="7170" width="26.69921875" style="1793" customWidth="1"/>
    <col min="7171" max="7171" width="14.5" style="1793" customWidth="1"/>
    <col min="7172" max="7172" width="19" style="1793" customWidth="1"/>
    <col min="7173" max="7174" width="3.69921875" style="1793" customWidth="1"/>
    <col min="7175" max="7175" width="3.296875" style="1793" customWidth="1"/>
    <col min="7176" max="7179" width="2.796875" style="1793" customWidth="1"/>
    <col min="7180" max="7424" width="8.796875" style="1793"/>
    <col min="7425" max="7425" width="15" style="1793" customWidth="1"/>
    <col min="7426" max="7426" width="26.69921875" style="1793" customWidth="1"/>
    <col min="7427" max="7427" width="14.5" style="1793" customWidth="1"/>
    <col min="7428" max="7428" width="19" style="1793" customWidth="1"/>
    <col min="7429" max="7430" width="3.69921875" style="1793" customWidth="1"/>
    <col min="7431" max="7431" width="3.296875" style="1793" customWidth="1"/>
    <col min="7432" max="7435" width="2.796875" style="1793" customWidth="1"/>
    <col min="7436" max="7680" width="8.796875" style="1793"/>
    <col min="7681" max="7681" width="15" style="1793" customWidth="1"/>
    <col min="7682" max="7682" width="26.69921875" style="1793" customWidth="1"/>
    <col min="7683" max="7683" width="14.5" style="1793" customWidth="1"/>
    <col min="7684" max="7684" width="19" style="1793" customWidth="1"/>
    <col min="7685" max="7686" width="3.69921875" style="1793" customWidth="1"/>
    <col min="7687" max="7687" width="3.296875" style="1793" customWidth="1"/>
    <col min="7688" max="7691" width="2.796875" style="1793" customWidth="1"/>
    <col min="7692" max="7936" width="8.796875" style="1793"/>
    <col min="7937" max="7937" width="15" style="1793" customWidth="1"/>
    <col min="7938" max="7938" width="26.69921875" style="1793" customWidth="1"/>
    <col min="7939" max="7939" width="14.5" style="1793" customWidth="1"/>
    <col min="7940" max="7940" width="19" style="1793" customWidth="1"/>
    <col min="7941" max="7942" width="3.69921875" style="1793" customWidth="1"/>
    <col min="7943" max="7943" width="3.296875" style="1793" customWidth="1"/>
    <col min="7944" max="7947" width="2.796875" style="1793" customWidth="1"/>
    <col min="7948" max="8192" width="8.796875" style="1793"/>
    <col min="8193" max="8193" width="15" style="1793" customWidth="1"/>
    <col min="8194" max="8194" width="26.69921875" style="1793" customWidth="1"/>
    <col min="8195" max="8195" width="14.5" style="1793" customWidth="1"/>
    <col min="8196" max="8196" width="19" style="1793" customWidth="1"/>
    <col min="8197" max="8198" width="3.69921875" style="1793" customWidth="1"/>
    <col min="8199" max="8199" width="3.296875" style="1793" customWidth="1"/>
    <col min="8200" max="8203" width="2.796875" style="1793" customWidth="1"/>
    <col min="8204" max="8448" width="8.796875" style="1793"/>
    <col min="8449" max="8449" width="15" style="1793" customWidth="1"/>
    <col min="8450" max="8450" width="26.69921875" style="1793" customWidth="1"/>
    <col min="8451" max="8451" width="14.5" style="1793" customWidth="1"/>
    <col min="8452" max="8452" width="19" style="1793" customWidth="1"/>
    <col min="8453" max="8454" width="3.69921875" style="1793" customWidth="1"/>
    <col min="8455" max="8455" width="3.296875" style="1793" customWidth="1"/>
    <col min="8456" max="8459" width="2.796875" style="1793" customWidth="1"/>
    <col min="8460" max="8704" width="8.796875" style="1793"/>
    <col min="8705" max="8705" width="15" style="1793" customWidth="1"/>
    <col min="8706" max="8706" width="26.69921875" style="1793" customWidth="1"/>
    <col min="8707" max="8707" width="14.5" style="1793" customWidth="1"/>
    <col min="8708" max="8708" width="19" style="1793" customWidth="1"/>
    <col min="8709" max="8710" width="3.69921875" style="1793" customWidth="1"/>
    <col min="8711" max="8711" width="3.296875" style="1793" customWidth="1"/>
    <col min="8712" max="8715" width="2.796875" style="1793" customWidth="1"/>
    <col min="8716" max="8960" width="8.796875" style="1793"/>
    <col min="8961" max="8961" width="15" style="1793" customWidth="1"/>
    <col min="8962" max="8962" width="26.69921875" style="1793" customWidth="1"/>
    <col min="8963" max="8963" width="14.5" style="1793" customWidth="1"/>
    <col min="8964" max="8964" width="19" style="1793" customWidth="1"/>
    <col min="8965" max="8966" width="3.69921875" style="1793" customWidth="1"/>
    <col min="8967" max="8967" width="3.296875" style="1793" customWidth="1"/>
    <col min="8968" max="8971" width="2.796875" style="1793" customWidth="1"/>
    <col min="8972" max="9216" width="8.796875" style="1793"/>
    <col min="9217" max="9217" width="15" style="1793" customWidth="1"/>
    <col min="9218" max="9218" width="26.69921875" style="1793" customWidth="1"/>
    <col min="9219" max="9219" width="14.5" style="1793" customWidth="1"/>
    <col min="9220" max="9220" width="19" style="1793" customWidth="1"/>
    <col min="9221" max="9222" width="3.69921875" style="1793" customWidth="1"/>
    <col min="9223" max="9223" width="3.296875" style="1793" customWidth="1"/>
    <col min="9224" max="9227" width="2.796875" style="1793" customWidth="1"/>
    <col min="9228" max="9472" width="8.796875" style="1793"/>
    <col min="9473" max="9473" width="15" style="1793" customWidth="1"/>
    <col min="9474" max="9474" width="26.69921875" style="1793" customWidth="1"/>
    <col min="9475" max="9475" width="14.5" style="1793" customWidth="1"/>
    <col min="9476" max="9476" width="19" style="1793" customWidth="1"/>
    <col min="9477" max="9478" width="3.69921875" style="1793" customWidth="1"/>
    <col min="9479" max="9479" width="3.296875" style="1793" customWidth="1"/>
    <col min="9480" max="9483" width="2.796875" style="1793" customWidth="1"/>
    <col min="9484" max="9728" width="8.796875" style="1793"/>
    <col min="9729" max="9729" width="15" style="1793" customWidth="1"/>
    <col min="9730" max="9730" width="26.69921875" style="1793" customWidth="1"/>
    <col min="9731" max="9731" width="14.5" style="1793" customWidth="1"/>
    <col min="9732" max="9732" width="19" style="1793" customWidth="1"/>
    <col min="9733" max="9734" width="3.69921875" style="1793" customWidth="1"/>
    <col min="9735" max="9735" width="3.296875" style="1793" customWidth="1"/>
    <col min="9736" max="9739" width="2.796875" style="1793" customWidth="1"/>
    <col min="9740" max="9984" width="8.796875" style="1793"/>
    <col min="9985" max="9985" width="15" style="1793" customWidth="1"/>
    <col min="9986" max="9986" width="26.69921875" style="1793" customWidth="1"/>
    <col min="9987" max="9987" width="14.5" style="1793" customWidth="1"/>
    <col min="9988" max="9988" width="19" style="1793" customWidth="1"/>
    <col min="9989" max="9990" width="3.69921875" style="1793" customWidth="1"/>
    <col min="9991" max="9991" width="3.296875" style="1793" customWidth="1"/>
    <col min="9992" max="9995" width="2.796875" style="1793" customWidth="1"/>
    <col min="9996" max="10240" width="8.796875" style="1793"/>
    <col min="10241" max="10241" width="15" style="1793" customWidth="1"/>
    <col min="10242" max="10242" width="26.69921875" style="1793" customWidth="1"/>
    <col min="10243" max="10243" width="14.5" style="1793" customWidth="1"/>
    <col min="10244" max="10244" width="19" style="1793" customWidth="1"/>
    <col min="10245" max="10246" width="3.69921875" style="1793" customWidth="1"/>
    <col min="10247" max="10247" width="3.296875" style="1793" customWidth="1"/>
    <col min="10248" max="10251" width="2.796875" style="1793" customWidth="1"/>
    <col min="10252" max="10496" width="8.796875" style="1793"/>
    <col min="10497" max="10497" width="15" style="1793" customWidth="1"/>
    <col min="10498" max="10498" width="26.69921875" style="1793" customWidth="1"/>
    <col min="10499" max="10499" width="14.5" style="1793" customWidth="1"/>
    <col min="10500" max="10500" width="19" style="1793" customWidth="1"/>
    <col min="10501" max="10502" width="3.69921875" style="1793" customWidth="1"/>
    <col min="10503" max="10503" width="3.296875" style="1793" customWidth="1"/>
    <col min="10504" max="10507" width="2.796875" style="1793" customWidth="1"/>
    <col min="10508" max="10752" width="8.796875" style="1793"/>
    <col min="10753" max="10753" width="15" style="1793" customWidth="1"/>
    <col min="10754" max="10754" width="26.69921875" style="1793" customWidth="1"/>
    <col min="10755" max="10755" width="14.5" style="1793" customWidth="1"/>
    <col min="10756" max="10756" width="19" style="1793" customWidth="1"/>
    <col min="10757" max="10758" width="3.69921875" style="1793" customWidth="1"/>
    <col min="10759" max="10759" width="3.296875" style="1793" customWidth="1"/>
    <col min="10760" max="10763" width="2.796875" style="1793" customWidth="1"/>
    <col min="10764" max="11008" width="8.796875" style="1793"/>
    <col min="11009" max="11009" width="15" style="1793" customWidth="1"/>
    <col min="11010" max="11010" width="26.69921875" style="1793" customWidth="1"/>
    <col min="11011" max="11011" width="14.5" style="1793" customWidth="1"/>
    <col min="11012" max="11012" width="19" style="1793" customWidth="1"/>
    <col min="11013" max="11014" width="3.69921875" style="1793" customWidth="1"/>
    <col min="11015" max="11015" width="3.296875" style="1793" customWidth="1"/>
    <col min="11016" max="11019" width="2.796875" style="1793" customWidth="1"/>
    <col min="11020" max="11264" width="8.796875" style="1793"/>
    <col min="11265" max="11265" width="15" style="1793" customWidth="1"/>
    <col min="11266" max="11266" width="26.69921875" style="1793" customWidth="1"/>
    <col min="11267" max="11267" width="14.5" style="1793" customWidth="1"/>
    <col min="11268" max="11268" width="19" style="1793" customWidth="1"/>
    <col min="11269" max="11270" width="3.69921875" style="1793" customWidth="1"/>
    <col min="11271" max="11271" width="3.296875" style="1793" customWidth="1"/>
    <col min="11272" max="11275" width="2.796875" style="1793" customWidth="1"/>
    <col min="11276" max="11520" width="8.796875" style="1793"/>
    <col min="11521" max="11521" width="15" style="1793" customWidth="1"/>
    <col min="11522" max="11522" width="26.69921875" style="1793" customWidth="1"/>
    <col min="11523" max="11523" width="14.5" style="1793" customWidth="1"/>
    <col min="11524" max="11524" width="19" style="1793" customWidth="1"/>
    <col min="11525" max="11526" width="3.69921875" style="1793" customWidth="1"/>
    <col min="11527" max="11527" width="3.296875" style="1793" customWidth="1"/>
    <col min="11528" max="11531" width="2.796875" style="1793" customWidth="1"/>
    <col min="11532" max="11776" width="8.796875" style="1793"/>
    <col min="11777" max="11777" width="15" style="1793" customWidth="1"/>
    <col min="11778" max="11778" width="26.69921875" style="1793" customWidth="1"/>
    <col min="11779" max="11779" width="14.5" style="1793" customWidth="1"/>
    <col min="11780" max="11780" width="19" style="1793" customWidth="1"/>
    <col min="11781" max="11782" width="3.69921875" style="1793" customWidth="1"/>
    <col min="11783" max="11783" width="3.296875" style="1793" customWidth="1"/>
    <col min="11784" max="11787" width="2.796875" style="1793" customWidth="1"/>
    <col min="11788" max="12032" width="8.796875" style="1793"/>
    <col min="12033" max="12033" width="15" style="1793" customWidth="1"/>
    <col min="12034" max="12034" width="26.69921875" style="1793" customWidth="1"/>
    <col min="12035" max="12035" width="14.5" style="1793" customWidth="1"/>
    <col min="12036" max="12036" width="19" style="1793" customWidth="1"/>
    <col min="12037" max="12038" width="3.69921875" style="1793" customWidth="1"/>
    <col min="12039" max="12039" width="3.296875" style="1793" customWidth="1"/>
    <col min="12040" max="12043" width="2.796875" style="1793" customWidth="1"/>
    <col min="12044" max="12288" width="8.796875" style="1793"/>
    <col min="12289" max="12289" width="15" style="1793" customWidth="1"/>
    <col min="12290" max="12290" width="26.69921875" style="1793" customWidth="1"/>
    <col min="12291" max="12291" width="14.5" style="1793" customWidth="1"/>
    <col min="12292" max="12292" width="19" style="1793" customWidth="1"/>
    <col min="12293" max="12294" width="3.69921875" style="1793" customWidth="1"/>
    <col min="12295" max="12295" width="3.296875" style="1793" customWidth="1"/>
    <col min="12296" max="12299" width="2.796875" style="1793" customWidth="1"/>
    <col min="12300" max="12544" width="8.796875" style="1793"/>
    <col min="12545" max="12545" width="15" style="1793" customWidth="1"/>
    <col min="12546" max="12546" width="26.69921875" style="1793" customWidth="1"/>
    <col min="12547" max="12547" width="14.5" style="1793" customWidth="1"/>
    <col min="12548" max="12548" width="19" style="1793" customWidth="1"/>
    <col min="12549" max="12550" width="3.69921875" style="1793" customWidth="1"/>
    <col min="12551" max="12551" width="3.296875" style="1793" customWidth="1"/>
    <col min="12552" max="12555" width="2.796875" style="1793" customWidth="1"/>
    <col min="12556" max="12800" width="8.796875" style="1793"/>
    <col min="12801" max="12801" width="15" style="1793" customWidth="1"/>
    <col min="12802" max="12802" width="26.69921875" style="1793" customWidth="1"/>
    <col min="12803" max="12803" width="14.5" style="1793" customWidth="1"/>
    <col min="12804" max="12804" width="19" style="1793" customWidth="1"/>
    <col min="12805" max="12806" width="3.69921875" style="1793" customWidth="1"/>
    <col min="12807" max="12807" width="3.296875" style="1793" customWidth="1"/>
    <col min="12808" max="12811" width="2.796875" style="1793" customWidth="1"/>
    <col min="12812" max="13056" width="8.796875" style="1793"/>
    <col min="13057" max="13057" width="15" style="1793" customWidth="1"/>
    <col min="13058" max="13058" width="26.69921875" style="1793" customWidth="1"/>
    <col min="13059" max="13059" width="14.5" style="1793" customWidth="1"/>
    <col min="13060" max="13060" width="19" style="1793" customWidth="1"/>
    <col min="13061" max="13062" width="3.69921875" style="1793" customWidth="1"/>
    <col min="13063" max="13063" width="3.296875" style="1793" customWidth="1"/>
    <col min="13064" max="13067" width="2.796875" style="1793" customWidth="1"/>
    <col min="13068" max="13312" width="8.796875" style="1793"/>
    <col min="13313" max="13313" width="15" style="1793" customWidth="1"/>
    <col min="13314" max="13314" width="26.69921875" style="1793" customWidth="1"/>
    <col min="13315" max="13315" width="14.5" style="1793" customWidth="1"/>
    <col min="13316" max="13316" width="19" style="1793" customWidth="1"/>
    <col min="13317" max="13318" width="3.69921875" style="1793" customWidth="1"/>
    <col min="13319" max="13319" width="3.296875" style="1793" customWidth="1"/>
    <col min="13320" max="13323" width="2.796875" style="1793" customWidth="1"/>
    <col min="13324" max="13568" width="8.796875" style="1793"/>
    <col min="13569" max="13569" width="15" style="1793" customWidth="1"/>
    <col min="13570" max="13570" width="26.69921875" style="1793" customWidth="1"/>
    <col min="13571" max="13571" width="14.5" style="1793" customWidth="1"/>
    <col min="13572" max="13572" width="19" style="1793" customWidth="1"/>
    <col min="13573" max="13574" width="3.69921875" style="1793" customWidth="1"/>
    <col min="13575" max="13575" width="3.296875" style="1793" customWidth="1"/>
    <col min="13576" max="13579" width="2.796875" style="1793" customWidth="1"/>
    <col min="13580" max="13824" width="8.796875" style="1793"/>
    <col min="13825" max="13825" width="15" style="1793" customWidth="1"/>
    <col min="13826" max="13826" width="26.69921875" style="1793" customWidth="1"/>
    <col min="13827" max="13827" width="14.5" style="1793" customWidth="1"/>
    <col min="13828" max="13828" width="19" style="1793" customWidth="1"/>
    <col min="13829" max="13830" width="3.69921875" style="1793" customWidth="1"/>
    <col min="13831" max="13831" width="3.296875" style="1793" customWidth="1"/>
    <col min="13832" max="13835" width="2.796875" style="1793" customWidth="1"/>
    <col min="13836" max="14080" width="8.796875" style="1793"/>
    <col min="14081" max="14081" width="15" style="1793" customWidth="1"/>
    <col min="14082" max="14082" width="26.69921875" style="1793" customWidth="1"/>
    <col min="14083" max="14083" width="14.5" style="1793" customWidth="1"/>
    <col min="14084" max="14084" width="19" style="1793" customWidth="1"/>
    <col min="14085" max="14086" width="3.69921875" style="1793" customWidth="1"/>
    <col min="14087" max="14087" width="3.296875" style="1793" customWidth="1"/>
    <col min="14088" max="14091" width="2.796875" style="1793" customWidth="1"/>
    <col min="14092" max="14336" width="8.796875" style="1793"/>
    <col min="14337" max="14337" width="15" style="1793" customWidth="1"/>
    <col min="14338" max="14338" width="26.69921875" style="1793" customWidth="1"/>
    <col min="14339" max="14339" width="14.5" style="1793" customWidth="1"/>
    <col min="14340" max="14340" width="19" style="1793" customWidth="1"/>
    <col min="14341" max="14342" width="3.69921875" style="1793" customWidth="1"/>
    <col min="14343" max="14343" width="3.296875" style="1793" customWidth="1"/>
    <col min="14344" max="14347" width="2.796875" style="1793" customWidth="1"/>
    <col min="14348" max="14592" width="8.796875" style="1793"/>
    <col min="14593" max="14593" width="15" style="1793" customWidth="1"/>
    <col min="14594" max="14594" width="26.69921875" style="1793" customWidth="1"/>
    <col min="14595" max="14595" width="14.5" style="1793" customWidth="1"/>
    <col min="14596" max="14596" width="19" style="1793" customWidth="1"/>
    <col min="14597" max="14598" width="3.69921875" style="1793" customWidth="1"/>
    <col min="14599" max="14599" width="3.296875" style="1793" customWidth="1"/>
    <col min="14600" max="14603" width="2.796875" style="1793" customWidth="1"/>
    <col min="14604" max="14848" width="8.796875" style="1793"/>
    <col min="14849" max="14849" width="15" style="1793" customWidth="1"/>
    <col min="14850" max="14850" width="26.69921875" style="1793" customWidth="1"/>
    <col min="14851" max="14851" width="14.5" style="1793" customWidth="1"/>
    <col min="14852" max="14852" width="19" style="1793" customWidth="1"/>
    <col min="14853" max="14854" width="3.69921875" style="1793" customWidth="1"/>
    <col min="14855" max="14855" width="3.296875" style="1793" customWidth="1"/>
    <col min="14856" max="14859" width="2.796875" style="1793" customWidth="1"/>
    <col min="14860" max="15104" width="8.796875" style="1793"/>
    <col min="15105" max="15105" width="15" style="1793" customWidth="1"/>
    <col min="15106" max="15106" width="26.69921875" style="1793" customWidth="1"/>
    <col min="15107" max="15107" width="14.5" style="1793" customWidth="1"/>
    <col min="15108" max="15108" width="19" style="1793" customWidth="1"/>
    <col min="15109" max="15110" width="3.69921875" style="1793" customWidth="1"/>
    <col min="15111" max="15111" width="3.296875" style="1793" customWidth="1"/>
    <col min="15112" max="15115" width="2.796875" style="1793" customWidth="1"/>
    <col min="15116" max="15360" width="8.796875" style="1793"/>
    <col min="15361" max="15361" width="15" style="1793" customWidth="1"/>
    <col min="15362" max="15362" width="26.69921875" style="1793" customWidth="1"/>
    <col min="15363" max="15363" width="14.5" style="1793" customWidth="1"/>
    <col min="15364" max="15364" width="19" style="1793" customWidth="1"/>
    <col min="15365" max="15366" width="3.69921875" style="1793" customWidth="1"/>
    <col min="15367" max="15367" width="3.296875" style="1793" customWidth="1"/>
    <col min="15368" max="15371" width="2.796875" style="1793" customWidth="1"/>
    <col min="15372" max="15616" width="8.796875" style="1793"/>
    <col min="15617" max="15617" width="15" style="1793" customWidth="1"/>
    <col min="15618" max="15618" width="26.69921875" style="1793" customWidth="1"/>
    <col min="15619" max="15619" width="14.5" style="1793" customWidth="1"/>
    <col min="15620" max="15620" width="19" style="1793" customWidth="1"/>
    <col min="15621" max="15622" width="3.69921875" style="1793" customWidth="1"/>
    <col min="15623" max="15623" width="3.296875" style="1793" customWidth="1"/>
    <col min="15624" max="15627" width="2.796875" style="1793" customWidth="1"/>
    <col min="15628" max="15872" width="8.796875" style="1793"/>
    <col min="15873" max="15873" width="15" style="1793" customWidth="1"/>
    <col min="15874" max="15874" width="26.69921875" style="1793" customWidth="1"/>
    <col min="15875" max="15875" width="14.5" style="1793" customWidth="1"/>
    <col min="15876" max="15876" width="19" style="1793" customWidth="1"/>
    <col min="15877" max="15878" width="3.69921875" style="1793" customWidth="1"/>
    <col min="15879" max="15879" width="3.296875" style="1793" customWidth="1"/>
    <col min="15880" max="15883" width="2.796875" style="1793" customWidth="1"/>
    <col min="15884" max="16128" width="8.796875" style="1793"/>
    <col min="16129" max="16129" width="15" style="1793" customWidth="1"/>
    <col min="16130" max="16130" width="26.69921875" style="1793" customWidth="1"/>
    <col min="16131" max="16131" width="14.5" style="1793" customWidth="1"/>
    <col min="16132" max="16132" width="19" style="1793" customWidth="1"/>
    <col min="16133" max="16134" width="3.69921875" style="1793" customWidth="1"/>
    <col min="16135" max="16135" width="3.296875" style="1793" customWidth="1"/>
    <col min="16136" max="16139" width="2.796875" style="1793" customWidth="1"/>
    <col min="16140" max="16384" width="8.796875" style="1793"/>
  </cols>
  <sheetData>
    <row r="1" spans="1:4" ht="30" customHeight="1" thickBot="1">
      <c r="A1" s="1792" t="s">
        <v>3250</v>
      </c>
      <c r="D1" s="1794" t="s">
        <v>3251</v>
      </c>
    </row>
    <row r="2" spans="1:4" ht="19.8" customHeight="1">
      <c r="A2" s="1795" t="s">
        <v>3252</v>
      </c>
      <c r="B2" s="1796" t="s">
        <v>3253</v>
      </c>
      <c r="C2" s="1796" t="s">
        <v>3254</v>
      </c>
      <c r="D2" s="1797" t="s">
        <v>3255</v>
      </c>
    </row>
    <row r="3" spans="1:4" ht="19.8" customHeight="1">
      <c r="A3" s="1798" t="s">
        <v>3256</v>
      </c>
      <c r="B3" s="1799" t="s">
        <v>3257</v>
      </c>
      <c r="C3" s="1800" t="s">
        <v>3258</v>
      </c>
      <c r="D3" s="1801">
        <v>2673</v>
      </c>
    </row>
    <row r="4" spans="1:4" ht="21.6">
      <c r="A4" s="1600" t="s">
        <v>3259</v>
      </c>
      <c r="B4" s="1802" t="s">
        <v>3260</v>
      </c>
      <c r="C4" s="1803" t="s">
        <v>3034</v>
      </c>
      <c r="D4" s="1804">
        <v>6592</v>
      </c>
    </row>
    <row r="5" spans="1:4" ht="19.8" customHeight="1">
      <c r="A5" s="1805" t="s">
        <v>3261</v>
      </c>
      <c r="B5" s="1761" t="s">
        <v>3262</v>
      </c>
      <c r="C5" s="1598" t="s">
        <v>3034</v>
      </c>
      <c r="D5" s="1804">
        <v>3162</v>
      </c>
    </row>
    <row r="6" spans="1:4" ht="19.8" customHeight="1">
      <c r="A6" s="1805" t="s">
        <v>3263</v>
      </c>
      <c r="B6" s="1761" t="s">
        <v>3264</v>
      </c>
      <c r="C6" s="1598" t="s">
        <v>3034</v>
      </c>
      <c r="D6" s="1804">
        <v>460</v>
      </c>
    </row>
    <row r="7" spans="1:4" ht="19.8" customHeight="1">
      <c r="A7" s="1805" t="s">
        <v>3265</v>
      </c>
      <c r="B7" s="1761" t="s">
        <v>3266</v>
      </c>
      <c r="C7" s="1598" t="s">
        <v>3034</v>
      </c>
      <c r="D7" s="1804" t="s">
        <v>3267</v>
      </c>
    </row>
    <row r="8" spans="1:4" ht="19.8" customHeight="1" thickBot="1">
      <c r="A8" s="1806" t="s">
        <v>3268</v>
      </c>
      <c r="B8" s="1765" t="s">
        <v>3269</v>
      </c>
      <c r="C8" s="1602" t="s">
        <v>3034</v>
      </c>
      <c r="D8" s="1807" t="s">
        <v>3270</v>
      </c>
    </row>
    <row r="9" spans="1:4" ht="16.8" customHeight="1">
      <c r="A9" s="1808" t="s">
        <v>3213</v>
      </c>
    </row>
    <row r="11" spans="1:4" ht="26.4" customHeight="1" thickBot="1">
      <c r="A11" s="1792" t="s">
        <v>3271</v>
      </c>
    </row>
    <row r="12" spans="1:4" ht="19.8" customHeight="1">
      <c r="A12" s="1795" t="s">
        <v>3252</v>
      </c>
      <c r="B12" s="1796" t="s">
        <v>3272</v>
      </c>
      <c r="C12" s="1796" t="s">
        <v>3254</v>
      </c>
      <c r="D12" s="1797" t="s">
        <v>3273</v>
      </c>
    </row>
    <row r="13" spans="1:4" ht="19.8" customHeight="1">
      <c r="A13" s="1805" t="s">
        <v>3274</v>
      </c>
      <c r="B13" s="2694" t="s">
        <v>3275</v>
      </c>
      <c r="C13" s="1598" t="s">
        <v>3276</v>
      </c>
      <c r="D13" s="1804">
        <v>104.5</v>
      </c>
    </row>
    <row r="14" spans="1:4" ht="19.8" customHeight="1">
      <c r="A14" s="1600" t="s">
        <v>3277</v>
      </c>
      <c r="B14" s="2695"/>
      <c r="C14" s="1803" t="s">
        <v>3034</v>
      </c>
      <c r="D14" s="1804">
        <v>104.5</v>
      </c>
    </row>
    <row r="15" spans="1:4" ht="19.8" customHeight="1">
      <c r="A15" s="1600" t="s">
        <v>3278</v>
      </c>
      <c r="B15" s="2695"/>
      <c r="C15" s="1803" t="s">
        <v>3034</v>
      </c>
      <c r="D15" s="1804">
        <v>104.5</v>
      </c>
    </row>
    <row r="16" spans="1:4" ht="19.8" customHeight="1">
      <c r="A16" s="1600" t="s">
        <v>3279</v>
      </c>
      <c r="B16" s="2695"/>
      <c r="C16" s="1803" t="s">
        <v>3034</v>
      </c>
      <c r="D16" s="1804">
        <v>104.5</v>
      </c>
    </row>
    <row r="17" spans="1:4" ht="19.8" customHeight="1">
      <c r="A17" s="1805" t="s">
        <v>3280</v>
      </c>
      <c r="B17" s="2695"/>
      <c r="C17" s="1598" t="s">
        <v>3034</v>
      </c>
      <c r="D17" s="1804">
        <v>147</v>
      </c>
    </row>
    <row r="18" spans="1:4" ht="19.8" customHeight="1">
      <c r="A18" s="1805" t="s">
        <v>3281</v>
      </c>
      <c r="B18" s="1761" t="s">
        <v>3282</v>
      </c>
      <c r="C18" s="1598" t="s">
        <v>3034</v>
      </c>
      <c r="D18" s="1804">
        <v>83</v>
      </c>
    </row>
    <row r="19" spans="1:4" ht="19.8" customHeight="1">
      <c r="A19" s="1805" t="s">
        <v>3283</v>
      </c>
      <c r="B19" s="2695" t="s">
        <v>3284</v>
      </c>
      <c r="C19" s="1598" t="s">
        <v>3034</v>
      </c>
      <c r="D19" s="1804">
        <v>100</v>
      </c>
    </row>
    <row r="20" spans="1:4" ht="19.8" customHeight="1">
      <c r="A20" s="1805" t="s">
        <v>3285</v>
      </c>
      <c r="B20" s="2695"/>
      <c r="C20" s="1598" t="s">
        <v>3034</v>
      </c>
      <c r="D20" s="1804">
        <v>99</v>
      </c>
    </row>
    <row r="21" spans="1:4" ht="19.8" customHeight="1">
      <c r="A21" s="1600" t="s">
        <v>3286</v>
      </c>
      <c r="B21" s="1802" t="s">
        <v>3287</v>
      </c>
      <c r="C21" s="1803" t="s">
        <v>3034</v>
      </c>
      <c r="D21" s="1804">
        <v>7</v>
      </c>
    </row>
    <row r="22" spans="1:4" ht="19.8" customHeight="1">
      <c r="A22" s="1805" t="s">
        <v>3288</v>
      </c>
      <c r="B22" s="1761" t="s">
        <v>3289</v>
      </c>
      <c r="C22" s="1598" t="s">
        <v>3290</v>
      </c>
      <c r="D22" s="1804">
        <v>96</v>
      </c>
    </row>
    <row r="23" spans="1:4" ht="19.8" customHeight="1">
      <c r="A23" s="1600" t="s">
        <v>3291</v>
      </c>
      <c r="B23" s="1802" t="s">
        <v>3292</v>
      </c>
      <c r="C23" s="1803" t="s">
        <v>3034</v>
      </c>
      <c r="D23" s="1804">
        <v>62</v>
      </c>
    </row>
    <row r="24" spans="1:4" ht="19.8" customHeight="1">
      <c r="A24" s="1805" t="s">
        <v>3293</v>
      </c>
      <c r="B24" s="2696" t="s">
        <v>3294</v>
      </c>
      <c r="C24" s="1598" t="s">
        <v>3295</v>
      </c>
      <c r="D24" s="1804">
        <v>89</v>
      </c>
    </row>
    <row r="25" spans="1:4" ht="19.8" customHeight="1">
      <c r="A25" s="1805" t="s">
        <v>3296</v>
      </c>
      <c r="B25" s="2696"/>
      <c r="C25" s="1598" t="s">
        <v>3034</v>
      </c>
      <c r="D25" s="1804">
        <v>89</v>
      </c>
    </row>
    <row r="26" spans="1:4" ht="19.8" customHeight="1">
      <c r="A26" s="1805" t="s">
        <v>3297</v>
      </c>
      <c r="B26" s="2696"/>
      <c r="C26" s="1598" t="s">
        <v>3298</v>
      </c>
      <c r="D26" s="1804">
        <v>88</v>
      </c>
    </row>
    <row r="27" spans="1:4" ht="19.8" customHeight="1">
      <c r="A27" s="1600" t="s">
        <v>3299</v>
      </c>
      <c r="B27" s="2696" t="s">
        <v>3300</v>
      </c>
      <c r="C27" s="1803" t="s">
        <v>3295</v>
      </c>
      <c r="D27" s="1804">
        <v>103</v>
      </c>
    </row>
    <row r="28" spans="1:4" ht="19.8" customHeight="1">
      <c r="A28" s="1600" t="s">
        <v>3301</v>
      </c>
      <c r="B28" s="2696"/>
      <c r="C28" s="1803" t="s">
        <v>3080</v>
      </c>
      <c r="D28" s="1804">
        <v>4</v>
      </c>
    </row>
    <row r="29" spans="1:4" ht="19.8" customHeight="1">
      <c r="A29" s="1600" t="s">
        <v>3302</v>
      </c>
      <c r="B29" s="1761" t="s">
        <v>3303</v>
      </c>
      <c r="C29" s="1803" t="s">
        <v>3080</v>
      </c>
      <c r="D29" s="1804" t="s">
        <v>3304</v>
      </c>
    </row>
    <row r="30" spans="1:4" ht="19.8" customHeight="1" thickBot="1">
      <c r="A30" s="1604" t="s">
        <v>3305</v>
      </c>
      <c r="B30" s="1765" t="s">
        <v>3306</v>
      </c>
      <c r="C30" s="1809" t="s">
        <v>3080</v>
      </c>
      <c r="D30" s="1807">
        <v>43</v>
      </c>
    </row>
    <row r="31" spans="1:4" ht="16.8" customHeight="1">
      <c r="A31" s="1808" t="s">
        <v>3215</v>
      </c>
      <c r="B31" s="1808"/>
    </row>
  </sheetData>
  <mergeCells count="4">
    <mergeCell ref="B13:B17"/>
    <mergeCell ref="B19:B20"/>
    <mergeCell ref="B24:B26"/>
    <mergeCell ref="B27:B28"/>
  </mergeCells>
  <phoneticPr fontId="4"/>
  <pageMargins left="0.7" right="0.7" top="0.75" bottom="0.75" header="0.3" footer="0.3"/>
  <pageSetup paperSize="9" orientation="portrait"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E9F3A-200A-4E37-827B-F9EEA9E4D1A7}">
  <sheetPr codeName="Sheet133"/>
  <dimension ref="A1:G10"/>
  <sheetViews>
    <sheetView workbookViewId="0"/>
  </sheetViews>
  <sheetFormatPr defaultColWidth="8.09765625" defaultRowHeight="10.8"/>
  <cols>
    <col min="1" max="1" width="9.59765625" style="1201" customWidth="1"/>
    <col min="2" max="7" width="11.3984375" style="1201" customWidth="1"/>
    <col min="8" max="16384" width="8.09765625" style="1201"/>
  </cols>
  <sheetData>
    <row r="1" spans="1:7" ht="30" customHeight="1" thickBot="1">
      <c r="A1" s="1200" t="s">
        <v>3307</v>
      </c>
    </row>
    <row r="2" spans="1:7" ht="14.4" customHeight="1">
      <c r="A2" s="2388" t="s">
        <v>1628</v>
      </c>
      <c r="B2" s="2392" t="s">
        <v>3308</v>
      </c>
      <c r="C2" s="2392" t="s">
        <v>3309</v>
      </c>
      <c r="D2" s="2387" t="s">
        <v>3310</v>
      </c>
      <c r="E2" s="2394"/>
      <c r="F2" s="2394"/>
      <c r="G2" s="2394"/>
    </row>
    <row r="3" spans="1:7" ht="14.4" customHeight="1">
      <c r="A3" s="2425"/>
      <c r="B3" s="2697"/>
      <c r="C3" s="2697"/>
      <c r="D3" s="1427" t="s">
        <v>3311</v>
      </c>
      <c r="E3" s="1427" t="s">
        <v>3312</v>
      </c>
      <c r="F3" s="1427" t="s">
        <v>3313</v>
      </c>
      <c r="G3" s="1428" t="s">
        <v>33</v>
      </c>
    </row>
    <row r="4" spans="1:7">
      <c r="A4" s="1753"/>
      <c r="B4" s="1462" t="s">
        <v>3231</v>
      </c>
      <c r="C4" s="1466" t="s">
        <v>3314</v>
      </c>
      <c r="D4" s="1466" t="s">
        <v>3231</v>
      </c>
      <c r="E4" s="1466" t="s">
        <v>3231</v>
      </c>
      <c r="F4" s="1466" t="s">
        <v>3231</v>
      </c>
      <c r="G4" s="1464" t="s">
        <v>3231</v>
      </c>
    </row>
    <row r="5" spans="1:7" ht="19.8" customHeight="1">
      <c r="A5" s="1810" t="s">
        <v>1833</v>
      </c>
      <c r="B5" s="1811">
        <v>413844</v>
      </c>
      <c r="C5" s="1812">
        <v>1573</v>
      </c>
      <c r="D5" s="1812">
        <v>404796</v>
      </c>
      <c r="E5" s="1812">
        <v>212238</v>
      </c>
      <c r="F5" s="1812">
        <v>114604</v>
      </c>
      <c r="G5" s="1813">
        <v>77954</v>
      </c>
    </row>
    <row r="6" spans="1:7" ht="19.8" customHeight="1">
      <c r="A6" s="1814">
        <v>30</v>
      </c>
      <c r="B6" s="1811">
        <v>386020</v>
      </c>
      <c r="C6" s="1812">
        <v>1558</v>
      </c>
      <c r="D6" s="1812">
        <v>376401</v>
      </c>
      <c r="E6" s="1812">
        <v>195781</v>
      </c>
      <c r="F6" s="1812">
        <v>105283</v>
      </c>
      <c r="G6" s="1813">
        <v>75337</v>
      </c>
    </row>
    <row r="7" spans="1:7" ht="19.8" customHeight="1">
      <c r="A7" s="1814" t="s">
        <v>1638</v>
      </c>
      <c r="B7" s="1811">
        <v>385274</v>
      </c>
      <c r="C7" s="1812">
        <v>1569</v>
      </c>
      <c r="D7" s="1812">
        <v>373385</v>
      </c>
      <c r="E7" s="1812">
        <v>196701</v>
      </c>
      <c r="F7" s="1812">
        <v>101312</v>
      </c>
      <c r="G7" s="1813">
        <v>75372</v>
      </c>
    </row>
    <row r="8" spans="1:7" ht="19.8" customHeight="1">
      <c r="A8" s="1810">
        <v>2</v>
      </c>
      <c r="B8" s="1815">
        <v>377785</v>
      </c>
      <c r="C8" s="1816">
        <v>1558</v>
      </c>
      <c r="D8" s="1816">
        <v>368625</v>
      </c>
      <c r="E8" s="1816">
        <v>203079</v>
      </c>
      <c r="F8" s="1816">
        <v>92078</v>
      </c>
      <c r="G8" s="1817">
        <v>73468</v>
      </c>
    </row>
    <row r="9" spans="1:7" ht="19.8" customHeight="1" thickBot="1">
      <c r="A9" s="1818">
        <v>3</v>
      </c>
      <c r="B9" s="1819">
        <v>381818</v>
      </c>
      <c r="C9" s="1820">
        <v>1549</v>
      </c>
      <c r="D9" s="1820">
        <v>371867</v>
      </c>
      <c r="E9" s="1820">
        <v>200624</v>
      </c>
      <c r="F9" s="1820">
        <v>91086</v>
      </c>
      <c r="G9" s="1821">
        <v>80157</v>
      </c>
    </row>
    <row r="10" spans="1:7" ht="16.8" customHeight="1">
      <c r="A10" s="1201" t="s">
        <v>3315</v>
      </c>
    </row>
  </sheetData>
  <mergeCells count="4">
    <mergeCell ref="A2:A3"/>
    <mergeCell ref="B2:B3"/>
    <mergeCell ref="C2:C3"/>
    <mergeCell ref="D2:G2"/>
  </mergeCells>
  <phoneticPr fontId="4"/>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F5DB7-2E41-486A-B2D4-D1EF1EB2F2BC}">
  <sheetPr codeName="Sheet71">
    <pageSetUpPr fitToPage="1"/>
  </sheetPr>
  <dimension ref="A1:J23"/>
  <sheetViews>
    <sheetView showGridLines="0" zoomScaleNormal="100" workbookViewId="0"/>
  </sheetViews>
  <sheetFormatPr defaultRowHeight="10.8"/>
  <cols>
    <col min="1" max="1" width="16.59765625" style="11" customWidth="1"/>
    <col min="2" max="5" width="15.59765625" style="11" customWidth="1"/>
    <col min="6" max="256" width="9" style="11"/>
    <col min="257" max="261" width="16.59765625" style="11" customWidth="1"/>
    <col min="262" max="512" width="9" style="11"/>
    <col min="513" max="517" width="16.59765625" style="11" customWidth="1"/>
    <col min="518" max="768" width="9" style="11"/>
    <col min="769" max="773" width="16.59765625" style="11" customWidth="1"/>
    <col min="774" max="1024" width="9" style="11"/>
    <col min="1025" max="1029" width="16.59765625" style="11" customWidth="1"/>
    <col min="1030" max="1280" width="9" style="11"/>
    <col min="1281" max="1285" width="16.59765625" style="11" customWidth="1"/>
    <col min="1286" max="1536" width="9" style="11"/>
    <col min="1537" max="1541" width="16.59765625" style="11" customWidth="1"/>
    <col min="1542" max="1792" width="9" style="11"/>
    <col min="1793" max="1797" width="16.59765625" style="11" customWidth="1"/>
    <col min="1798" max="2048" width="9" style="11"/>
    <col min="2049" max="2053" width="16.59765625" style="11" customWidth="1"/>
    <col min="2054" max="2304" width="9" style="11"/>
    <col min="2305" max="2309" width="16.59765625" style="11" customWidth="1"/>
    <col min="2310" max="2560" width="9" style="11"/>
    <col min="2561" max="2565" width="16.59765625" style="11" customWidth="1"/>
    <col min="2566" max="2816" width="9" style="11"/>
    <col min="2817" max="2821" width="16.59765625" style="11" customWidth="1"/>
    <col min="2822" max="3072" width="9" style="11"/>
    <col min="3073" max="3077" width="16.59765625" style="11" customWidth="1"/>
    <col min="3078" max="3328" width="9" style="11"/>
    <col min="3329" max="3333" width="16.59765625" style="11" customWidth="1"/>
    <col min="3334" max="3584" width="9" style="11"/>
    <col min="3585" max="3589" width="16.59765625" style="11" customWidth="1"/>
    <col min="3590" max="3840" width="9" style="11"/>
    <col min="3841" max="3845" width="16.59765625" style="11" customWidth="1"/>
    <col min="3846" max="4096" width="9" style="11"/>
    <col min="4097" max="4101" width="16.59765625" style="11" customWidth="1"/>
    <col min="4102" max="4352" width="9" style="11"/>
    <col min="4353" max="4357" width="16.59765625" style="11" customWidth="1"/>
    <col min="4358" max="4608" width="9" style="11"/>
    <col min="4609" max="4613" width="16.59765625" style="11" customWidth="1"/>
    <col min="4614" max="4864" width="9" style="11"/>
    <col min="4865" max="4869" width="16.59765625" style="11" customWidth="1"/>
    <col min="4870" max="5120" width="9" style="11"/>
    <col min="5121" max="5125" width="16.59765625" style="11" customWidth="1"/>
    <col min="5126" max="5376" width="9" style="11"/>
    <col min="5377" max="5381" width="16.59765625" style="11" customWidth="1"/>
    <col min="5382" max="5632" width="9" style="11"/>
    <col min="5633" max="5637" width="16.59765625" style="11" customWidth="1"/>
    <col min="5638" max="5888" width="9" style="11"/>
    <col min="5889" max="5893" width="16.59765625" style="11" customWidth="1"/>
    <col min="5894" max="6144" width="9" style="11"/>
    <col min="6145" max="6149" width="16.59765625" style="11" customWidth="1"/>
    <col min="6150" max="6400" width="9" style="11"/>
    <col min="6401" max="6405" width="16.59765625" style="11" customWidth="1"/>
    <col min="6406" max="6656" width="9" style="11"/>
    <col min="6657" max="6661" width="16.59765625" style="11" customWidth="1"/>
    <col min="6662" max="6912" width="9" style="11"/>
    <col min="6913" max="6917" width="16.59765625" style="11" customWidth="1"/>
    <col min="6918" max="7168" width="9" style="11"/>
    <col min="7169" max="7173" width="16.59765625" style="11" customWidth="1"/>
    <col min="7174" max="7424" width="9" style="11"/>
    <col min="7425" max="7429" width="16.59765625" style="11" customWidth="1"/>
    <col min="7430" max="7680" width="9" style="11"/>
    <col min="7681" max="7685" width="16.59765625" style="11" customWidth="1"/>
    <col min="7686" max="7936" width="9" style="11"/>
    <col min="7937" max="7941" width="16.59765625" style="11" customWidth="1"/>
    <col min="7942" max="8192" width="9" style="11"/>
    <col min="8193" max="8197" width="16.59765625" style="11" customWidth="1"/>
    <col min="8198" max="8448" width="9" style="11"/>
    <col min="8449" max="8453" width="16.59765625" style="11" customWidth="1"/>
    <col min="8454" max="8704" width="9" style="11"/>
    <col min="8705" max="8709" width="16.59765625" style="11" customWidth="1"/>
    <col min="8710" max="8960" width="9" style="11"/>
    <col min="8961" max="8965" width="16.59765625" style="11" customWidth="1"/>
    <col min="8966" max="9216" width="9" style="11"/>
    <col min="9217" max="9221" width="16.59765625" style="11" customWidth="1"/>
    <col min="9222" max="9472" width="9" style="11"/>
    <col min="9473" max="9477" width="16.59765625" style="11" customWidth="1"/>
    <col min="9478" max="9728" width="9" style="11"/>
    <col min="9729" max="9733" width="16.59765625" style="11" customWidth="1"/>
    <col min="9734" max="9984" width="9" style="11"/>
    <col min="9985" max="9989" width="16.59765625" style="11" customWidth="1"/>
    <col min="9990" max="10240" width="9" style="11"/>
    <col min="10241" max="10245" width="16.59765625" style="11" customWidth="1"/>
    <col min="10246" max="10496" width="9" style="11"/>
    <col min="10497" max="10501" width="16.59765625" style="11" customWidth="1"/>
    <col min="10502" max="10752" width="9" style="11"/>
    <col min="10753" max="10757" width="16.59765625" style="11" customWidth="1"/>
    <col min="10758" max="11008" width="9" style="11"/>
    <col min="11009" max="11013" width="16.59765625" style="11" customWidth="1"/>
    <col min="11014" max="11264" width="9" style="11"/>
    <col min="11265" max="11269" width="16.59765625" style="11" customWidth="1"/>
    <col min="11270" max="11520" width="9" style="11"/>
    <col min="11521" max="11525" width="16.59765625" style="11" customWidth="1"/>
    <col min="11526" max="11776" width="9" style="11"/>
    <col min="11777" max="11781" width="16.59765625" style="11" customWidth="1"/>
    <col min="11782" max="12032" width="9" style="11"/>
    <col min="12033" max="12037" width="16.59765625" style="11" customWidth="1"/>
    <col min="12038" max="12288" width="9" style="11"/>
    <col min="12289" max="12293" width="16.59765625" style="11" customWidth="1"/>
    <col min="12294" max="12544" width="9" style="11"/>
    <col min="12545" max="12549" width="16.59765625" style="11" customWidth="1"/>
    <col min="12550" max="12800" width="9" style="11"/>
    <col min="12801" max="12805" width="16.59765625" style="11" customWidth="1"/>
    <col min="12806" max="13056" width="9" style="11"/>
    <col min="13057" max="13061" width="16.59765625" style="11" customWidth="1"/>
    <col min="13062" max="13312" width="9" style="11"/>
    <col min="13313" max="13317" width="16.59765625" style="11" customWidth="1"/>
    <col min="13318" max="13568" width="9" style="11"/>
    <col min="13569" max="13573" width="16.59765625" style="11" customWidth="1"/>
    <col min="13574" max="13824" width="9" style="11"/>
    <col min="13825" max="13829" width="16.59765625" style="11" customWidth="1"/>
    <col min="13830" max="14080" width="9" style="11"/>
    <col min="14081" max="14085" width="16.59765625" style="11" customWidth="1"/>
    <col min="14086" max="14336" width="9" style="11"/>
    <col min="14337" max="14341" width="16.59765625" style="11" customWidth="1"/>
    <col min="14342" max="14592" width="9" style="11"/>
    <col min="14593" max="14597" width="16.59765625" style="11" customWidth="1"/>
    <col min="14598" max="14848" width="9" style="11"/>
    <col min="14849" max="14853" width="16.59765625" style="11" customWidth="1"/>
    <col min="14854" max="15104" width="9" style="11"/>
    <col min="15105" max="15109" width="16.59765625" style="11" customWidth="1"/>
    <col min="15110" max="15360" width="9" style="11"/>
    <col min="15361" max="15365" width="16.59765625" style="11" customWidth="1"/>
    <col min="15366" max="15616" width="9" style="11"/>
    <col min="15617" max="15621" width="16.59765625" style="11" customWidth="1"/>
    <col min="15622" max="15872" width="9" style="11"/>
    <col min="15873" max="15877" width="16.59765625" style="11" customWidth="1"/>
    <col min="15878" max="16128" width="9" style="11"/>
    <col min="16129" max="16133" width="16.59765625" style="11" customWidth="1"/>
    <col min="16134" max="16384" width="9" style="11"/>
  </cols>
  <sheetData>
    <row r="1" spans="1:10" ht="30" customHeight="1" thickBot="1">
      <c r="A1" s="259" t="s">
        <v>1787</v>
      </c>
    </row>
    <row r="2" spans="1:10" ht="32.25" customHeight="1">
      <c r="A2" s="250" t="s">
        <v>1628</v>
      </c>
      <c r="B2" s="447" t="s">
        <v>1788</v>
      </c>
      <c r="C2" s="936" t="s">
        <v>1789</v>
      </c>
      <c r="D2" s="936" t="s">
        <v>1790</v>
      </c>
      <c r="E2" s="937" t="s">
        <v>1791</v>
      </c>
    </row>
    <row r="3" spans="1:10" ht="21" customHeight="1">
      <c r="A3" s="513"/>
      <c r="B3" s="39" t="s">
        <v>1719</v>
      </c>
      <c r="C3" s="938" t="s">
        <v>1719</v>
      </c>
      <c r="D3" s="938" t="s">
        <v>586</v>
      </c>
      <c r="E3" s="938" t="s">
        <v>230</v>
      </c>
    </row>
    <row r="4" spans="1:10" ht="21" customHeight="1">
      <c r="A4" s="253" t="s">
        <v>1792</v>
      </c>
      <c r="B4" s="228">
        <v>2659</v>
      </c>
      <c r="C4" s="939">
        <v>86</v>
      </c>
      <c r="D4" s="228">
        <v>319</v>
      </c>
      <c r="E4" s="940">
        <v>33.4</v>
      </c>
    </row>
    <row r="5" spans="1:10" ht="21" customHeight="1">
      <c r="A5" s="253">
        <v>26</v>
      </c>
      <c r="B5" s="228">
        <v>2638</v>
      </c>
      <c r="C5" s="939">
        <v>89</v>
      </c>
      <c r="D5" s="228">
        <v>284</v>
      </c>
      <c r="E5" s="940">
        <v>37.4</v>
      </c>
    </row>
    <row r="6" spans="1:10" ht="21" customHeight="1">
      <c r="A6" s="253">
        <v>27</v>
      </c>
      <c r="B6" s="228">
        <v>2564</v>
      </c>
      <c r="C6" s="939">
        <v>90</v>
      </c>
      <c r="D6" s="228">
        <v>256</v>
      </c>
      <c r="E6" s="940">
        <v>36.299999999999997</v>
      </c>
    </row>
    <row r="7" spans="1:10" ht="21" customHeight="1">
      <c r="A7" s="253">
        <v>28</v>
      </c>
      <c r="B7" s="228">
        <v>2476</v>
      </c>
      <c r="C7" s="939">
        <v>101</v>
      </c>
      <c r="D7" s="228">
        <v>210</v>
      </c>
      <c r="E7" s="940">
        <v>39</v>
      </c>
    </row>
    <row r="8" spans="1:10" ht="21" customHeight="1">
      <c r="A8" s="253">
        <v>29</v>
      </c>
      <c r="B8" s="228">
        <v>2427</v>
      </c>
      <c r="C8" s="939">
        <v>107</v>
      </c>
      <c r="D8" s="228">
        <v>201</v>
      </c>
      <c r="E8" s="940">
        <v>42.5</v>
      </c>
      <c r="J8" s="941"/>
    </row>
    <row r="9" spans="1:10" ht="21" customHeight="1">
      <c r="A9" s="253">
        <v>30</v>
      </c>
      <c r="B9" s="228">
        <v>2369</v>
      </c>
      <c r="C9" s="939">
        <v>112</v>
      </c>
      <c r="D9" s="228">
        <v>187</v>
      </c>
      <c r="E9" s="940">
        <v>44.7</v>
      </c>
    </row>
    <row r="10" spans="1:10" ht="21" customHeight="1">
      <c r="A10" s="253" t="s">
        <v>1638</v>
      </c>
      <c r="B10" s="228">
        <v>2299</v>
      </c>
      <c r="C10" s="939">
        <v>121</v>
      </c>
      <c r="D10" s="228">
        <v>164</v>
      </c>
      <c r="E10" s="940">
        <v>49.3</v>
      </c>
    </row>
    <row r="11" spans="1:10" ht="21" customHeight="1">
      <c r="A11" s="253">
        <v>2</v>
      </c>
      <c r="B11" s="228">
        <v>2234</v>
      </c>
      <c r="C11" s="939">
        <v>126</v>
      </c>
      <c r="D11" s="228">
        <v>162</v>
      </c>
      <c r="E11" s="940">
        <v>45.9</v>
      </c>
    </row>
    <row r="12" spans="1:10" ht="21" customHeight="1">
      <c r="A12" s="253">
        <v>3</v>
      </c>
      <c r="B12" s="942">
        <v>2173</v>
      </c>
      <c r="C12" s="943">
        <v>130</v>
      </c>
      <c r="D12" s="942">
        <v>155</v>
      </c>
      <c r="E12" s="944">
        <v>46.5</v>
      </c>
    </row>
    <row r="13" spans="1:10" ht="21" customHeight="1">
      <c r="A13" s="253">
        <v>4</v>
      </c>
      <c r="B13" s="942">
        <v>2082</v>
      </c>
      <c r="C13" s="943">
        <v>141</v>
      </c>
      <c r="D13" s="942">
        <v>152</v>
      </c>
      <c r="E13" s="944">
        <v>48.8</v>
      </c>
    </row>
    <row r="14" spans="1:10" ht="21" customHeight="1">
      <c r="A14" s="545"/>
      <c r="B14" s="480"/>
      <c r="C14" s="2106"/>
      <c r="D14" s="480"/>
      <c r="E14" s="575"/>
    </row>
    <row r="15" spans="1:10" s="171" customFormat="1" ht="21" customHeight="1" thickBot="1">
      <c r="A15" s="489"/>
      <c r="B15" s="437"/>
      <c r="C15" s="1184"/>
      <c r="D15" s="437"/>
      <c r="E15" s="1185"/>
    </row>
    <row r="16" spans="1:10" ht="21" customHeight="1">
      <c r="A16" s="11" t="s">
        <v>1793</v>
      </c>
    </row>
    <row r="17" ht="21" customHeight="1"/>
    <row r="18" ht="15.75" customHeight="1"/>
    <row r="23" ht="10.5" customHeight="1"/>
  </sheetData>
  <phoneticPr fontId="4"/>
  <printOptions horizontalCentered="1"/>
  <pageMargins left="0.86614173228346458" right="0.86614173228346458" top="0.98425196850393704" bottom="0.98425196850393704" header="0.31496062992125984" footer="0.31496062992125984"/>
  <pageSetup paperSize="9" scale="97"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ED664-A74A-4021-A10B-088D9AF778AA}">
  <sheetPr codeName="Sheet72">
    <pageSetUpPr fitToPage="1"/>
  </sheetPr>
  <dimension ref="A1:S33"/>
  <sheetViews>
    <sheetView workbookViewId="0"/>
  </sheetViews>
  <sheetFormatPr defaultColWidth="9" defaultRowHeight="10.8"/>
  <cols>
    <col min="1" max="1" width="9.59765625" style="2109" customWidth="1"/>
    <col min="2" max="2" width="6" style="2109" bestFit="1" customWidth="1"/>
    <col min="3" max="19" width="7.09765625" style="2109" customWidth="1"/>
    <col min="20" max="16384" width="9" style="2109"/>
  </cols>
  <sheetData>
    <row r="1" spans="1:19" ht="30" customHeight="1" thickBot="1">
      <c r="A1" s="2108" t="s">
        <v>1794</v>
      </c>
      <c r="S1" s="2110" t="s">
        <v>1795</v>
      </c>
    </row>
    <row r="2" spans="1:19" ht="17.399999999999999" customHeight="1">
      <c r="A2" s="2703" t="s">
        <v>1796</v>
      </c>
      <c r="B2" s="2704"/>
      <c r="C2" s="2704" t="s">
        <v>1797</v>
      </c>
      <c r="D2" s="2704"/>
      <c r="E2" s="2704" t="s">
        <v>1798</v>
      </c>
      <c r="F2" s="2704" t="s">
        <v>1799</v>
      </c>
      <c r="G2" s="2704"/>
      <c r="H2" s="2704" t="s">
        <v>1800</v>
      </c>
      <c r="I2" s="2718" t="s">
        <v>1801</v>
      </c>
      <c r="J2" s="2700" t="s">
        <v>1802</v>
      </c>
      <c r="K2" s="2700" t="s">
        <v>1803</v>
      </c>
      <c r="L2" s="2704" t="s">
        <v>1804</v>
      </c>
      <c r="M2" s="2711" t="s">
        <v>1805</v>
      </c>
      <c r="N2" s="2712"/>
      <c r="O2" s="2712"/>
      <c r="P2" s="2721"/>
      <c r="Q2" s="2700" t="s">
        <v>1806</v>
      </c>
      <c r="R2" s="2711" t="s">
        <v>1807</v>
      </c>
      <c r="S2" s="2712"/>
    </row>
    <row r="3" spans="1:19" ht="17.399999999999999" customHeight="1">
      <c r="A3" s="2698"/>
      <c r="B3" s="2705"/>
      <c r="C3" s="2705" t="s">
        <v>1808</v>
      </c>
      <c r="D3" s="2705" t="s">
        <v>1809</v>
      </c>
      <c r="E3" s="2705"/>
      <c r="F3" s="2705" t="s">
        <v>1808</v>
      </c>
      <c r="G3" s="2705" t="s">
        <v>1809</v>
      </c>
      <c r="H3" s="2705"/>
      <c r="I3" s="2719"/>
      <c r="J3" s="2701"/>
      <c r="K3" s="2701"/>
      <c r="L3" s="2705"/>
      <c r="M3" s="2713" t="s">
        <v>1810</v>
      </c>
      <c r="N3" s="2698"/>
      <c r="O3" s="2714" t="s">
        <v>1811</v>
      </c>
      <c r="P3" s="2714" t="s">
        <v>1812</v>
      </c>
      <c r="Q3" s="2701"/>
      <c r="R3" s="2714" t="s">
        <v>1813</v>
      </c>
      <c r="S3" s="2716" t="s">
        <v>1814</v>
      </c>
    </row>
    <row r="4" spans="1:19" ht="17.399999999999999" customHeight="1">
      <c r="A4" s="2698"/>
      <c r="B4" s="2705"/>
      <c r="C4" s="2705"/>
      <c r="D4" s="2705"/>
      <c r="E4" s="2705"/>
      <c r="F4" s="2705"/>
      <c r="G4" s="2705"/>
      <c r="H4" s="2705"/>
      <c r="I4" s="2720"/>
      <c r="J4" s="2702"/>
      <c r="K4" s="2702"/>
      <c r="L4" s="2705"/>
      <c r="M4" s="2111" t="s">
        <v>1815</v>
      </c>
      <c r="N4" s="2111" t="s">
        <v>1816</v>
      </c>
      <c r="O4" s="2715"/>
      <c r="P4" s="2715"/>
      <c r="Q4" s="2702"/>
      <c r="R4" s="2715"/>
      <c r="S4" s="2717"/>
    </row>
    <row r="5" spans="1:19" ht="22.5" customHeight="1">
      <c r="A5" s="2706" t="s">
        <v>1817</v>
      </c>
      <c r="B5" s="1186" t="s">
        <v>1818</v>
      </c>
      <c r="C5" s="1187">
        <v>606</v>
      </c>
      <c r="D5" s="1187">
        <v>1198</v>
      </c>
      <c r="E5" s="1187">
        <v>86</v>
      </c>
      <c r="F5" s="1187">
        <v>4235</v>
      </c>
      <c r="G5" s="1187">
        <v>6740</v>
      </c>
      <c r="H5" s="1187">
        <v>12865</v>
      </c>
      <c r="I5" s="1189">
        <v>7</v>
      </c>
      <c r="J5" s="1187">
        <v>463</v>
      </c>
      <c r="K5" s="1187">
        <v>284</v>
      </c>
      <c r="L5" s="1187">
        <v>444</v>
      </c>
      <c r="M5" s="1187">
        <v>6417</v>
      </c>
      <c r="N5" s="1187">
        <v>5337</v>
      </c>
      <c r="O5" s="1191">
        <v>1</v>
      </c>
      <c r="P5" s="1187">
        <v>468</v>
      </c>
      <c r="Q5" s="1187">
        <v>2184</v>
      </c>
      <c r="R5" s="1187">
        <v>1972</v>
      </c>
      <c r="S5" s="1189">
        <v>366</v>
      </c>
    </row>
    <row r="6" spans="1:19" ht="22.5" customHeight="1">
      <c r="A6" s="2707"/>
      <c r="B6" s="2112" t="s">
        <v>1819</v>
      </c>
      <c r="C6" s="1194">
        <v>113</v>
      </c>
      <c r="D6" s="1194">
        <v>11</v>
      </c>
      <c r="E6" s="1194">
        <v>79</v>
      </c>
      <c r="F6" s="1194">
        <v>6</v>
      </c>
      <c r="G6" s="1194">
        <v>55</v>
      </c>
      <c r="H6" s="1194">
        <v>264</v>
      </c>
      <c r="I6" s="2113">
        <v>1</v>
      </c>
      <c r="J6" s="1194">
        <v>29</v>
      </c>
      <c r="K6" s="2114" t="s">
        <v>431</v>
      </c>
      <c r="L6" s="2114" t="s">
        <v>431</v>
      </c>
      <c r="M6" s="2114" t="s">
        <v>431</v>
      </c>
      <c r="N6" s="1194">
        <v>65</v>
      </c>
      <c r="O6" s="2114" t="s">
        <v>431</v>
      </c>
      <c r="P6" s="2114" t="s">
        <v>431</v>
      </c>
      <c r="Q6" s="2114" t="s">
        <v>431</v>
      </c>
      <c r="R6" s="2114" t="s">
        <v>431</v>
      </c>
      <c r="S6" s="2115" t="s">
        <v>431</v>
      </c>
    </row>
    <row r="7" spans="1:19" ht="22.5" customHeight="1">
      <c r="A7" s="2708">
        <v>23</v>
      </c>
      <c r="B7" s="1186" t="s">
        <v>1818</v>
      </c>
      <c r="C7" s="1187">
        <v>596</v>
      </c>
      <c r="D7" s="1187">
        <v>1164</v>
      </c>
      <c r="E7" s="1187">
        <v>82</v>
      </c>
      <c r="F7" s="1187">
        <v>4314</v>
      </c>
      <c r="G7" s="1187">
        <v>6606</v>
      </c>
      <c r="H7" s="1187">
        <v>12762</v>
      </c>
      <c r="I7" s="1189">
        <v>7</v>
      </c>
      <c r="J7" s="1187">
        <v>452</v>
      </c>
      <c r="K7" s="1187">
        <v>288</v>
      </c>
      <c r="L7" s="1187">
        <v>467</v>
      </c>
      <c r="M7" s="1187">
        <v>6550</v>
      </c>
      <c r="N7" s="1187">
        <v>5296</v>
      </c>
      <c r="O7" s="1191">
        <v>1</v>
      </c>
      <c r="P7" s="1187">
        <v>441</v>
      </c>
      <c r="Q7" s="1187">
        <v>2147</v>
      </c>
      <c r="R7" s="1187">
        <v>1859</v>
      </c>
      <c r="S7" s="1189">
        <v>362</v>
      </c>
    </row>
    <row r="8" spans="1:19" ht="22.5" customHeight="1">
      <c r="A8" s="2709"/>
      <c r="B8" s="2112" t="s">
        <v>1819</v>
      </c>
      <c r="C8" s="1194">
        <v>114</v>
      </c>
      <c r="D8" s="1194">
        <v>14</v>
      </c>
      <c r="E8" s="1194">
        <v>72</v>
      </c>
      <c r="F8" s="1194">
        <v>6</v>
      </c>
      <c r="G8" s="1194">
        <v>56</v>
      </c>
      <c r="H8" s="1194">
        <v>262</v>
      </c>
      <c r="I8" s="2113">
        <v>2</v>
      </c>
      <c r="J8" s="1194">
        <v>28</v>
      </c>
      <c r="K8" s="2114" t="s">
        <v>431</v>
      </c>
      <c r="L8" s="2114" t="s">
        <v>431</v>
      </c>
      <c r="M8" s="2114" t="s">
        <v>431</v>
      </c>
      <c r="N8" s="1194">
        <v>62</v>
      </c>
      <c r="O8" s="2114" t="s">
        <v>431</v>
      </c>
      <c r="P8" s="2114" t="s">
        <v>431</v>
      </c>
      <c r="Q8" s="2114" t="s">
        <v>431</v>
      </c>
      <c r="R8" s="2114" t="s">
        <v>431</v>
      </c>
      <c r="S8" s="2115" t="s">
        <v>431</v>
      </c>
    </row>
    <row r="9" spans="1:19" ht="22.5" customHeight="1">
      <c r="A9" s="2708">
        <v>24</v>
      </c>
      <c r="B9" s="1186" t="s">
        <v>1818</v>
      </c>
      <c r="C9" s="1187">
        <v>572</v>
      </c>
      <c r="D9" s="1187">
        <v>1136</v>
      </c>
      <c r="E9" s="1187">
        <v>72</v>
      </c>
      <c r="F9" s="1187">
        <v>4370</v>
      </c>
      <c r="G9" s="1187">
        <v>6528</v>
      </c>
      <c r="H9" s="1187">
        <v>12678</v>
      </c>
      <c r="I9" s="1189">
        <v>7</v>
      </c>
      <c r="J9" s="1187">
        <v>447</v>
      </c>
      <c r="K9" s="1187">
        <v>289</v>
      </c>
      <c r="L9" s="1187">
        <v>452</v>
      </c>
      <c r="M9" s="1187">
        <v>6619</v>
      </c>
      <c r="N9" s="1187">
        <v>5301</v>
      </c>
      <c r="O9" s="1190">
        <v>1</v>
      </c>
      <c r="P9" s="1187">
        <v>458</v>
      </c>
      <c r="Q9" s="1187">
        <v>2128</v>
      </c>
      <c r="R9" s="1187">
        <v>1783</v>
      </c>
      <c r="S9" s="1189">
        <v>363</v>
      </c>
    </row>
    <row r="10" spans="1:19" ht="22.5" customHeight="1">
      <c r="A10" s="2709"/>
      <c r="B10" s="2112" t="s">
        <v>1819</v>
      </c>
      <c r="C10" s="1194">
        <v>121</v>
      </c>
      <c r="D10" s="1194">
        <v>12</v>
      </c>
      <c r="E10" s="1194">
        <v>77</v>
      </c>
      <c r="F10" s="1194">
        <v>7</v>
      </c>
      <c r="G10" s="1194">
        <v>54</v>
      </c>
      <c r="H10" s="1194">
        <v>271</v>
      </c>
      <c r="I10" s="2113">
        <v>2</v>
      </c>
      <c r="J10" s="1194">
        <v>29</v>
      </c>
      <c r="K10" s="2114" t="s">
        <v>431</v>
      </c>
      <c r="L10" s="2114" t="s">
        <v>431</v>
      </c>
      <c r="M10" s="2114" t="s">
        <v>431</v>
      </c>
      <c r="N10" s="1194">
        <v>67</v>
      </c>
      <c r="O10" s="2114" t="s">
        <v>431</v>
      </c>
      <c r="P10" s="2114" t="s">
        <v>431</v>
      </c>
      <c r="Q10" s="2114" t="s">
        <v>431</v>
      </c>
      <c r="R10" s="2114" t="s">
        <v>431</v>
      </c>
      <c r="S10" s="2115" t="s">
        <v>431</v>
      </c>
    </row>
    <row r="11" spans="1:19" ht="22.5" customHeight="1">
      <c r="A11" s="2708">
        <v>25</v>
      </c>
      <c r="B11" s="1186" t="s">
        <v>1818</v>
      </c>
      <c r="C11" s="1187">
        <v>558</v>
      </c>
      <c r="D11" s="1187">
        <v>1134</v>
      </c>
      <c r="E11" s="1187">
        <v>70</v>
      </c>
      <c r="F11" s="1187">
        <v>4521</v>
      </c>
      <c r="G11" s="1187">
        <v>6450</v>
      </c>
      <c r="H11" s="1187">
        <v>12733</v>
      </c>
      <c r="I11" s="1189">
        <v>7</v>
      </c>
      <c r="J11" s="1187">
        <v>443</v>
      </c>
      <c r="K11" s="1187">
        <v>292</v>
      </c>
      <c r="L11" s="1187">
        <v>439</v>
      </c>
      <c r="M11" s="1187">
        <v>6763</v>
      </c>
      <c r="N11" s="1187">
        <v>5188</v>
      </c>
      <c r="O11" s="1190">
        <v>1</v>
      </c>
      <c r="P11" s="1187">
        <v>460</v>
      </c>
      <c r="Q11" s="1187">
        <v>2081</v>
      </c>
      <c r="R11" s="1187">
        <v>1674</v>
      </c>
      <c r="S11" s="1189">
        <v>345</v>
      </c>
    </row>
    <row r="12" spans="1:19" ht="22.5" customHeight="1">
      <c r="A12" s="2710"/>
      <c r="B12" s="2112" t="s">
        <v>1819</v>
      </c>
      <c r="C12" s="1194">
        <v>115</v>
      </c>
      <c r="D12" s="1194">
        <v>12</v>
      </c>
      <c r="E12" s="1194">
        <v>83</v>
      </c>
      <c r="F12" s="1194">
        <v>7</v>
      </c>
      <c r="G12" s="1194">
        <v>54</v>
      </c>
      <c r="H12" s="1194">
        <v>271</v>
      </c>
      <c r="I12" s="2113">
        <v>2</v>
      </c>
      <c r="J12" s="1194">
        <v>29</v>
      </c>
      <c r="K12" s="2114" t="s">
        <v>431</v>
      </c>
      <c r="L12" s="2114" t="s">
        <v>431</v>
      </c>
      <c r="M12" s="2114" t="s">
        <v>431</v>
      </c>
      <c r="N12" s="1194">
        <v>71</v>
      </c>
      <c r="O12" s="2114" t="s">
        <v>431</v>
      </c>
      <c r="P12" s="2114" t="s">
        <v>431</v>
      </c>
      <c r="Q12" s="2114" t="s">
        <v>431</v>
      </c>
      <c r="R12" s="2114" t="s">
        <v>431</v>
      </c>
      <c r="S12" s="2115" t="s">
        <v>431</v>
      </c>
    </row>
    <row r="13" spans="1:19" ht="22.5" customHeight="1">
      <c r="A13" s="2698">
        <v>26</v>
      </c>
      <c r="B13" s="1186" t="s">
        <v>1818</v>
      </c>
      <c r="C13" s="1187">
        <v>555</v>
      </c>
      <c r="D13" s="1187">
        <v>1133</v>
      </c>
      <c r="E13" s="1187">
        <v>70</v>
      </c>
      <c r="F13" s="1187">
        <v>4579</v>
      </c>
      <c r="G13" s="1187">
        <v>6291</v>
      </c>
      <c r="H13" s="1187">
        <v>12628</v>
      </c>
      <c r="I13" s="1189">
        <v>7</v>
      </c>
      <c r="J13" s="1187">
        <v>449</v>
      </c>
      <c r="K13" s="1190">
        <v>295</v>
      </c>
      <c r="L13" s="1190">
        <v>460</v>
      </c>
      <c r="M13" s="1190">
        <v>6966</v>
      </c>
      <c r="N13" s="1187">
        <v>5157</v>
      </c>
      <c r="O13" s="1190">
        <v>1</v>
      </c>
      <c r="P13" s="1190">
        <v>452</v>
      </c>
      <c r="Q13" s="1190">
        <v>2039</v>
      </c>
      <c r="R13" s="1190">
        <v>1614</v>
      </c>
      <c r="S13" s="1191">
        <v>347</v>
      </c>
    </row>
    <row r="14" spans="1:19" ht="22.5" customHeight="1">
      <c r="A14" s="2699"/>
      <c r="B14" s="2112" t="s">
        <v>1819</v>
      </c>
      <c r="C14" s="1194">
        <v>118</v>
      </c>
      <c r="D14" s="1194">
        <v>13</v>
      </c>
      <c r="E14" s="1194">
        <v>87</v>
      </c>
      <c r="F14" s="1194">
        <v>7</v>
      </c>
      <c r="G14" s="1194">
        <v>53</v>
      </c>
      <c r="H14" s="1194">
        <v>278</v>
      </c>
      <c r="I14" s="2113">
        <v>2</v>
      </c>
      <c r="J14" s="1194">
        <v>28</v>
      </c>
      <c r="K14" s="2114" t="s">
        <v>431</v>
      </c>
      <c r="L14" s="2114" t="s">
        <v>431</v>
      </c>
      <c r="M14" s="2114" t="s">
        <v>431</v>
      </c>
      <c r="N14" s="1194">
        <v>65</v>
      </c>
      <c r="O14" s="2114" t="s">
        <v>431</v>
      </c>
      <c r="P14" s="2114" t="s">
        <v>431</v>
      </c>
      <c r="Q14" s="2114" t="s">
        <v>431</v>
      </c>
      <c r="R14" s="2114" t="s">
        <v>431</v>
      </c>
      <c r="S14" s="2115" t="s">
        <v>431</v>
      </c>
    </row>
    <row r="15" spans="1:19" ht="22.5" customHeight="1">
      <c r="A15" s="2698" t="s">
        <v>1820</v>
      </c>
      <c r="B15" s="1186" t="s">
        <v>1818</v>
      </c>
      <c r="C15" s="1187">
        <v>560</v>
      </c>
      <c r="D15" s="1187">
        <v>1153</v>
      </c>
      <c r="E15" s="1187">
        <v>68</v>
      </c>
      <c r="F15" s="1187">
        <v>4666</v>
      </c>
      <c r="G15" s="1187">
        <v>6052</v>
      </c>
      <c r="H15" s="1187">
        <v>12499</v>
      </c>
      <c r="I15" s="1189">
        <v>9</v>
      </c>
      <c r="J15" s="1187">
        <v>431</v>
      </c>
      <c r="K15" s="1190">
        <v>310</v>
      </c>
      <c r="L15" s="1190">
        <v>459</v>
      </c>
      <c r="M15" s="1190">
        <v>7126</v>
      </c>
      <c r="N15" s="1187">
        <v>5037</v>
      </c>
      <c r="O15" s="1190" t="s">
        <v>345</v>
      </c>
      <c r="P15" s="1190">
        <v>439</v>
      </c>
      <c r="Q15" s="1190">
        <v>1996</v>
      </c>
      <c r="R15" s="1190">
        <v>1540</v>
      </c>
      <c r="S15" s="1191">
        <v>349</v>
      </c>
    </row>
    <row r="16" spans="1:19" ht="22.5" customHeight="1">
      <c r="A16" s="2699"/>
      <c r="B16" s="2112" t="s">
        <v>1819</v>
      </c>
      <c r="C16" s="1194">
        <v>132</v>
      </c>
      <c r="D16" s="1194">
        <v>13</v>
      </c>
      <c r="E16" s="1194">
        <v>80</v>
      </c>
      <c r="F16" s="1194">
        <v>7</v>
      </c>
      <c r="G16" s="1194">
        <v>54</v>
      </c>
      <c r="H16" s="1194">
        <v>286</v>
      </c>
      <c r="I16" s="2113">
        <v>2</v>
      </c>
      <c r="J16" s="1194">
        <v>28</v>
      </c>
      <c r="K16" s="2114" t="s">
        <v>431</v>
      </c>
      <c r="L16" s="2114" t="s">
        <v>345</v>
      </c>
      <c r="M16" s="2114" t="s">
        <v>345</v>
      </c>
      <c r="N16" s="1194">
        <v>63</v>
      </c>
      <c r="O16" s="2114" t="s">
        <v>345</v>
      </c>
      <c r="P16" s="2114" t="s">
        <v>345</v>
      </c>
      <c r="Q16" s="2114" t="s">
        <v>345</v>
      </c>
      <c r="R16" s="2114" t="s">
        <v>345</v>
      </c>
      <c r="S16" s="2115" t="s">
        <v>345</v>
      </c>
    </row>
    <row r="17" spans="1:19" ht="22.5" customHeight="1">
      <c r="A17" s="2722">
        <v>28</v>
      </c>
      <c r="B17" s="1186" t="s">
        <v>1818</v>
      </c>
      <c r="C17" s="1187">
        <v>545</v>
      </c>
      <c r="D17" s="1187">
        <v>1125</v>
      </c>
      <c r="E17" s="1187">
        <v>67</v>
      </c>
      <c r="F17" s="1187">
        <v>4848</v>
      </c>
      <c r="G17" s="1187">
        <v>5988</v>
      </c>
      <c r="H17" s="1187">
        <v>12573</v>
      </c>
      <c r="I17" s="1189">
        <v>9</v>
      </c>
      <c r="J17" s="1187">
        <v>431</v>
      </c>
      <c r="K17" s="1190">
        <v>318</v>
      </c>
      <c r="L17" s="1190">
        <v>458</v>
      </c>
      <c r="M17" s="1190">
        <v>7212</v>
      </c>
      <c r="N17" s="1187">
        <v>4954</v>
      </c>
      <c r="O17" s="1190" t="s">
        <v>431</v>
      </c>
      <c r="P17" s="1190">
        <v>416</v>
      </c>
      <c r="Q17" s="1190">
        <v>1960</v>
      </c>
      <c r="R17" s="1190">
        <v>1408</v>
      </c>
      <c r="S17" s="1191">
        <v>347</v>
      </c>
    </row>
    <row r="18" spans="1:19" ht="22.5" customHeight="1">
      <c r="A18" s="2710"/>
      <c r="B18" s="1192" t="s">
        <v>1819</v>
      </c>
      <c r="C18" s="1193">
        <v>134</v>
      </c>
      <c r="D18" s="1193">
        <v>13</v>
      </c>
      <c r="E18" s="1193">
        <v>76</v>
      </c>
      <c r="F18" s="1193">
        <v>11</v>
      </c>
      <c r="G18" s="1193">
        <v>47</v>
      </c>
      <c r="H18" s="1193">
        <v>281</v>
      </c>
      <c r="I18" s="1195">
        <v>3</v>
      </c>
      <c r="J18" s="1193">
        <v>27</v>
      </c>
      <c r="K18" s="1196" t="s">
        <v>431</v>
      </c>
      <c r="L18" s="1196" t="s">
        <v>431</v>
      </c>
      <c r="M18" s="1196" t="s">
        <v>431</v>
      </c>
      <c r="N18" s="1193">
        <v>57</v>
      </c>
      <c r="O18" s="1196" t="s">
        <v>431</v>
      </c>
      <c r="P18" s="1196" t="s">
        <v>431</v>
      </c>
      <c r="Q18" s="1196" t="s">
        <v>431</v>
      </c>
      <c r="R18" s="1196" t="s">
        <v>431</v>
      </c>
      <c r="S18" s="1197" t="s">
        <v>431</v>
      </c>
    </row>
    <row r="19" spans="1:19" ht="22.5" customHeight="1">
      <c r="A19" s="2698">
        <v>29</v>
      </c>
      <c r="B19" s="1186" t="s">
        <v>1818</v>
      </c>
      <c r="C19" s="1187">
        <v>548</v>
      </c>
      <c r="D19" s="1187">
        <v>1095</v>
      </c>
      <c r="E19" s="1187">
        <v>66</v>
      </c>
      <c r="F19" s="1187">
        <v>4910</v>
      </c>
      <c r="G19" s="1187">
        <v>5837</v>
      </c>
      <c r="H19" s="1187">
        <v>12456</v>
      </c>
      <c r="I19" s="1189">
        <v>10</v>
      </c>
      <c r="J19" s="1187">
        <v>438</v>
      </c>
      <c r="K19" s="1187">
        <v>322</v>
      </c>
      <c r="L19" s="1187">
        <v>458</v>
      </c>
      <c r="M19" s="1187">
        <v>7254</v>
      </c>
      <c r="N19" s="1187">
        <v>4900</v>
      </c>
      <c r="O19" s="1190" t="s">
        <v>345</v>
      </c>
      <c r="P19" s="1187">
        <v>430</v>
      </c>
      <c r="Q19" s="1187">
        <v>1908</v>
      </c>
      <c r="R19" s="1187">
        <v>1326</v>
      </c>
      <c r="S19" s="1189">
        <v>339</v>
      </c>
    </row>
    <row r="20" spans="1:19" ht="22.5" customHeight="1">
      <c r="A20" s="2699"/>
      <c r="B20" s="2112" t="s">
        <v>1819</v>
      </c>
      <c r="C20" s="1194">
        <v>141</v>
      </c>
      <c r="D20" s="1194">
        <v>13</v>
      </c>
      <c r="E20" s="1194">
        <v>77</v>
      </c>
      <c r="F20" s="1194">
        <v>9</v>
      </c>
      <c r="G20" s="1194">
        <v>49</v>
      </c>
      <c r="H20" s="1194">
        <v>289</v>
      </c>
      <c r="I20" s="2113">
        <v>3</v>
      </c>
      <c r="J20" s="1194">
        <v>29</v>
      </c>
      <c r="K20" s="2114" t="s">
        <v>345</v>
      </c>
      <c r="L20" s="2114" t="s">
        <v>345</v>
      </c>
      <c r="M20" s="2114" t="s">
        <v>345</v>
      </c>
      <c r="N20" s="1194">
        <v>62</v>
      </c>
      <c r="O20" s="2114" t="s">
        <v>345</v>
      </c>
      <c r="P20" s="2114" t="s">
        <v>345</v>
      </c>
      <c r="Q20" s="2114" t="s">
        <v>345</v>
      </c>
      <c r="R20" s="2114" t="s">
        <v>345</v>
      </c>
      <c r="S20" s="2115" t="s">
        <v>345</v>
      </c>
    </row>
    <row r="21" spans="1:19" ht="22.5" customHeight="1">
      <c r="A21" s="2698">
        <v>30</v>
      </c>
      <c r="B21" s="1186" t="s">
        <v>1818</v>
      </c>
      <c r="C21" s="1187">
        <v>564</v>
      </c>
      <c r="D21" s="1187">
        <v>1118</v>
      </c>
      <c r="E21" s="1187">
        <v>75</v>
      </c>
      <c r="F21" s="1187">
        <v>4931</v>
      </c>
      <c r="G21" s="1187">
        <v>5685</v>
      </c>
      <c r="H21" s="1187">
        <v>12373</v>
      </c>
      <c r="I21" s="1189">
        <v>9</v>
      </c>
      <c r="J21" s="1187">
        <v>439</v>
      </c>
      <c r="K21" s="1187">
        <v>325</v>
      </c>
      <c r="L21" s="1187">
        <v>450</v>
      </c>
      <c r="M21" s="1187">
        <v>7299</v>
      </c>
      <c r="N21" s="1187">
        <v>4852</v>
      </c>
      <c r="O21" s="1190" t="s">
        <v>345</v>
      </c>
      <c r="P21" s="1187">
        <v>435</v>
      </c>
      <c r="Q21" s="1187">
        <v>1885</v>
      </c>
      <c r="R21" s="1187">
        <v>1240</v>
      </c>
      <c r="S21" s="1189">
        <v>339</v>
      </c>
    </row>
    <row r="22" spans="1:19" ht="22.5" customHeight="1">
      <c r="A22" s="2699"/>
      <c r="B22" s="2112" t="s">
        <v>1819</v>
      </c>
      <c r="C22" s="1194">
        <v>144</v>
      </c>
      <c r="D22" s="1194">
        <v>15</v>
      </c>
      <c r="E22" s="1194">
        <v>75</v>
      </c>
      <c r="F22" s="1194">
        <v>10</v>
      </c>
      <c r="G22" s="1194">
        <v>51</v>
      </c>
      <c r="H22" s="1194">
        <v>295</v>
      </c>
      <c r="I22" s="2113">
        <v>3</v>
      </c>
      <c r="J22" s="1194">
        <v>29</v>
      </c>
      <c r="K22" s="2114" t="s">
        <v>345</v>
      </c>
      <c r="L22" s="2114" t="s">
        <v>345</v>
      </c>
      <c r="M22" s="2114" t="s">
        <v>345</v>
      </c>
      <c r="N22" s="1194">
        <v>62</v>
      </c>
      <c r="O22" s="2114" t="s">
        <v>345</v>
      </c>
      <c r="P22" s="2114" t="s">
        <v>345</v>
      </c>
      <c r="Q22" s="2114" t="s">
        <v>345</v>
      </c>
      <c r="R22" s="2114" t="s">
        <v>345</v>
      </c>
      <c r="S22" s="2115" t="s">
        <v>345</v>
      </c>
    </row>
    <row r="23" spans="1:19" ht="22.5" customHeight="1">
      <c r="A23" s="2698">
        <v>31</v>
      </c>
      <c r="B23" s="1186" t="s">
        <v>1818</v>
      </c>
      <c r="C23" s="1187">
        <v>568</v>
      </c>
      <c r="D23" s="1187">
        <v>1112</v>
      </c>
      <c r="E23" s="1187">
        <v>75</v>
      </c>
      <c r="F23" s="1187">
        <v>5038</v>
      </c>
      <c r="G23" s="1187">
        <v>5502</v>
      </c>
      <c r="H23" s="1187">
        <v>12295</v>
      </c>
      <c r="I23" s="1189">
        <v>9</v>
      </c>
      <c r="J23" s="1187">
        <v>434</v>
      </c>
      <c r="K23" s="1190">
        <v>324</v>
      </c>
      <c r="L23" s="1190">
        <v>442</v>
      </c>
      <c r="M23" s="1190">
        <v>7281</v>
      </c>
      <c r="N23" s="1187">
        <v>4826</v>
      </c>
      <c r="O23" s="1190" t="s">
        <v>431</v>
      </c>
      <c r="P23" s="1190">
        <v>429</v>
      </c>
      <c r="Q23" s="1190">
        <v>1830</v>
      </c>
      <c r="R23" s="1190">
        <v>1144</v>
      </c>
      <c r="S23" s="1191">
        <v>344</v>
      </c>
    </row>
    <row r="24" spans="1:19" ht="22.5" customHeight="1">
      <c r="A24" s="2699"/>
      <c r="B24" s="1192" t="s">
        <v>1819</v>
      </c>
      <c r="C24" s="1193">
        <v>144</v>
      </c>
      <c r="D24" s="1193">
        <v>15</v>
      </c>
      <c r="E24" s="1193">
        <v>78</v>
      </c>
      <c r="F24" s="1193">
        <v>13</v>
      </c>
      <c r="G24" s="1193">
        <v>48</v>
      </c>
      <c r="H24" s="1193">
        <v>298</v>
      </c>
      <c r="I24" s="1195">
        <v>3</v>
      </c>
      <c r="J24" s="1193">
        <v>31</v>
      </c>
      <c r="K24" s="1196" t="s">
        <v>345</v>
      </c>
      <c r="L24" s="1196" t="s">
        <v>345</v>
      </c>
      <c r="M24" s="1196" t="s">
        <v>431</v>
      </c>
      <c r="N24" s="1193">
        <v>61</v>
      </c>
      <c r="O24" s="1196" t="s">
        <v>431</v>
      </c>
      <c r="P24" s="1196" t="s">
        <v>431</v>
      </c>
      <c r="Q24" s="1196" t="s">
        <v>431</v>
      </c>
      <c r="R24" s="1196" t="s">
        <v>431</v>
      </c>
      <c r="S24" s="1197" t="s">
        <v>431</v>
      </c>
    </row>
    <row r="25" spans="1:19" ht="22.5" customHeight="1">
      <c r="A25" s="2698" t="s">
        <v>1821</v>
      </c>
      <c r="B25" s="1186" t="s">
        <v>1818</v>
      </c>
      <c r="C25" s="1187">
        <v>585</v>
      </c>
      <c r="D25" s="1187">
        <v>1126</v>
      </c>
      <c r="E25" s="1187">
        <v>70</v>
      </c>
      <c r="F25" s="1187">
        <v>5080</v>
      </c>
      <c r="G25" s="1187">
        <v>5370</v>
      </c>
      <c r="H25" s="2107">
        <f>SUM(C25:G25)</f>
        <v>12231</v>
      </c>
      <c r="I25" s="1189">
        <v>9</v>
      </c>
      <c r="J25" s="1187">
        <v>438</v>
      </c>
      <c r="K25" s="1190">
        <v>319</v>
      </c>
      <c r="L25" s="1190">
        <v>438</v>
      </c>
      <c r="M25" s="1190">
        <v>7285</v>
      </c>
      <c r="N25" s="1187">
        <v>4816</v>
      </c>
      <c r="O25" s="1190" t="s">
        <v>431</v>
      </c>
      <c r="P25" s="1190">
        <v>433</v>
      </c>
      <c r="Q25" s="1190">
        <v>1784</v>
      </c>
      <c r="R25" s="1190">
        <v>1075</v>
      </c>
      <c r="S25" s="1191">
        <v>353</v>
      </c>
    </row>
    <row r="26" spans="1:19" ht="22.5" customHeight="1">
      <c r="A26" s="2699"/>
      <c r="B26" s="1192" t="s">
        <v>1819</v>
      </c>
      <c r="C26" s="1193">
        <v>139</v>
      </c>
      <c r="D26" s="1193">
        <v>15</v>
      </c>
      <c r="E26" s="1193">
        <v>76</v>
      </c>
      <c r="F26" s="1193">
        <v>13</v>
      </c>
      <c r="G26" s="1193">
        <v>40</v>
      </c>
      <c r="H26" s="1194">
        <f>SUM(C26:G26)</f>
        <v>283</v>
      </c>
      <c r="I26" s="1195">
        <v>3</v>
      </c>
      <c r="J26" s="1193">
        <v>28</v>
      </c>
      <c r="K26" s="1196" t="s">
        <v>345</v>
      </c>
      <c r="L26" s="1196" t="s">
        <v>345</v>
      </c>
      <c r="M26" s="1196" t="s">
        <v>431</v>
      </c>
      <c r="N26" s="1193">
        <v>63</v>
      </c>
      <c r="O26" s="1196" t="s">
        <v>431</v>
      </c>
      <c r="P26" s="1196" t="s">
        <v>431</v>
      </c>
      <c r="Q26" s="1196" t="s">
        <v>431</v>
      </c>
      <c r="R26" s="1196" t="s">
        <v>431</v>
      </c>
      <c r="S26" s="1197" t="s">
        <v>431</v>
      </c>
    </row>
    <row r="27" spans="1:19" ht="22.5" customHeight="1">
      <c r="A27" s="2698" t="s">
        <v>1822</v>
      </c>
      <c r="B27" s="1186" t="s">
        <v>1818</v>
      </c>
      <c r="C27" s="1187">
        <v>584</v>
      </c>
      <c r="D27" s="1187">
        <v>1134</v>
      </c>
      <c r="E27" s="1187">
        <v>66</v>
      </c>
      <c r="F27" s="1187">
        <v>5106</v>
      </c>
      <c r="G27" s="1187">
        <v>5224</v>
      </c>
      <c r="H27" s="2107">
        <f t="shared" ref="H27:H30" si="0">SUM(C27:G27)</f>
        <v>12114</v>
      </c>
      <c r="I27" s="1189">
        <v>11</v>
      </c>
      <c r="J27" s="1187">
        <v>454</v>
      </c>
      <c r="K27" s="1190">
        <v>326</v>
      </c>
      <c r="L27" s="1190">
        <v>444</v>
      </c>
      <c r="M27" s="1190">
        <v>7285</v>
      </c>
      <c r="N27" s="1187">
        <v>4787</v>
      </c>
      <c r="O27" s="1190" t="s">
        <v>431</v>
      </c>
      <c r="P27" s="1190">
        <v>451</v>
      </c>
      <c r="Q27" s="1190">
        <v>1745</v>
      </c>
      <c r="R27" s="1190">
        <v>1031</v>
      </c>
      <c r="S27" s="1191">
        <v>348</v>
      </c>
    </row>
    <row r="28" spans="1:19" ht="22.5" customHeight="1">
      <c r="A28" s="2699"/>
      <c r="B28" s="1192" t="s">
        <v>1819</v>
      </c>
      <c r="C28" s="1193">
        <v>144</v>
      </c>
      <c r="D28" s="1193">
        <v>15</v>
      </c>
      <c r="E28" s="1193">
        <v>74</v>
      </c>
      <c r="F28" s="1193">
        <v>12</v>
      </c>
      <c r="G28" s="1193">
        <v>43</v>
      </c>
      <c r="H28" s="1194">
        <f t="shared" si="0"/>
        <v>288</v>
      </c>
      <c r="I28" s="1195">
        <v>6</v>
      </c>
      <c r="J28" s="1193">
        <v>28</v>
      </c>
      <c r="K28" s="1196" t="s">
        <v>345</v>
      </c>
      <c r="L28" s="1196"/>
      <c r="M28" s="1196" t="s">
        <v>431</v>
      </c>
      <c r="N28" s="1193">
        <v>59</v>
      </c>
      <c r="O28" s="1196" t="s">
        <v>431</v>
      </c>
      <c r="P28" s="1196" t="s">
        <v>431</v>
      </c>
      <c r="Q28" s="1196" t="s">
        <v>431</v>
      </c>
      <c r="R28" s="1196" t="s">
        <v>431</v>
      </c>
      <c r="S28" s="1197" t="s">
        <v>431</v>
      </c>
    </row>
    <row r="29" spans="1:19" ht="22.5" customHeight="1">
      <c r="A29" s="2698" t="s">
        <v>1823</v>
      </c>
      <c r="B29" s="1186" t="s">
        <v>1818</v>
      </c>
      <c r="C29" s="1187">
        <v>580</v>
      </c>
      <c r="D29" s="1187">
        <v>1132</v>
      </c>
      <c r="E29" s="1187">
        <v>62</v>
      </c>
      <c r="F29" s="1187">
        <v>5160</v>
      </c>
      <c r="G29" s="1187">
        <v>5057</v>
      </c>
      <c r="H29" s="1188">
        <f t="shared" si="0"/>
        <v>11991</v>
      </c>
      <c r="I29" s="1189">
        <v>9</v>
      </c>
      <c r="J29" s="1187">
        <v>459</v>
      </c>
      <c r="K29" s="1190">
        <v>324</v>
      </c>
      <c r="L29" s="1190">
        <v>457</v>
      </c>
      <c r="M29" s="1190">
        <v>7327</v>
      </c>
      <c r="N29" s="1187">
        <v>4752</v>
      </c>
      <c r="O29" s="1190" t="s">
        <v>431</v>
      </c>
      <c r="P29" s="1190">
        <v>468</v>
      </c>
      <c r="Q29" s="1190">
        <v>1713</v>
      </c>
      <c r="R29" s="1190">
        <v>1001</v>
      </c>
      <c r="S29" s="1191">
        <v>360</v>
      </c>
    </row>
    <row r="30" spans="1:19" ht="22.5" customHeight="1">
      <c r="A30" s="2699"/>
      <c r="B30" s="1192" t="s">
        <v>1819</v>
      </c>
      <c r="C30" s="1193">
        <v>146</v>
      </c>
      <c r="D30" s="1193">
        <v>15</v>
      </c>
      <c r="E30" s="1193">
        <v>73</v>
      </c>
      <c r="F30" s="1193">
        <v>13</v>
      </c>
      <c r="G30" s="1193">
        <v>43</v>
      </c>
      <c r="H30" s="1194">
        <f t="shared" si="0"/>
        <v>290</v>
      </c>
      <c r="I30" s="1195">
        <v>7</v>
      </c>
      <c r="J30" s="1193">
        <v>26</v>
      </c>
      <c r="K30" s="1196" t="s">
        <v>345</v>
      </c>
      <c r="L30" s="1196"/>
      <c r="M30" s="1196" t="s">
        <v>431</v>
      </c>
      <c r="N30" s="1193">
        <v>55</v>
      </c>
      <c r="O30" s="1196" t="s">
        <v>431</v>
      </c>
      <c r="P30" s="1196" t="s">
        <v>431</v>
      </c>
      <c r="Q30" s="1196" t="s">
        <v>431</v>
      </c>
      <c r="R30" s="1196" t="s">
        <v>431</v>
      </c>
      <c r="S30" s="1197" t="s">
        <v>431</v>
      </c>
    </row>
    <row r="31" spans="1:19" ht="22.5" customHeight="1">
      <c r="A31" s="2698"/>
      <c r="B31" s="1186"/>
      <c r="C31" s="1187"/>
      <c r="D31" s="1187"/>
      <c r="E31" s="1187"/>
      <c r="F31" s="1187"/>
      <c r="G31" s="1187"/>
      <c r="H31" s="1188"/>
      <c r="I31" s="1189"/>
      <c r="J31" s="1187"/>
      <c r="K31" s="1190"/>
      <c r="L31" s="1190"/>
      <c r="M31" s="1190"/>
      <c r="N31" s="1187"/>
      <c r="O31" s="1190"/>
      <c r="P31" s="1190"/>
      <c r="Q31" s="1190"/>
      <c r="R31" s="1190"/>
      <c r="S31" s="1191"/>
    </row>
    <row r="32" spans="1:19" ht="22.5" customHeight="1">
      <c r="A32" s="2699"/>
      <c r="B32" s="1192"/>
      <c r="C32" s="1193"/>
      <c r="D32" s="1193"/>
      <c r="E32" s="1193"/>
      <c r="F32" s="1193"/>
      <c r="G32" s="1193"/>
      <c r="H32" s="1194"/>
      <c r="I32" s="1195"/>
      <c r="J32" s="1193"/>
      <c r="K32" s="1196"/>
      <c r="L32" s="1196"/>
      <c r="M32" s="1196"/>
      <c r="N32" s="1193"/>
      <c r="O32" s="1196"/>
      <c r="P32" s="1196"/>
      <c r="Q32" s="1196"/>
      <c r="R32" s="1196"/>
      <c r="S32" s="1197"/>
    </row>
    <row r="33" spans="1:19" ht="18" customHeight="1">
      <c r="A33" s="2109" t="s">
        <v>3683</v>
      </c>
      <c r="S33" s="2116" t="s">
        <v>1824</v>
      </c>
    </row>
  </sheetData>
  <mergeCells count="36">
    <mergeCell ref="A17:A18"/>
    <mergeCell ref="A19:A20"/>
    <mergeCell ref="A21:A22"/>
    <mergeCell ref="A23:A24"/>
    <mergeCell ref="A25:A26"/>
    <mergeCell ref="R2:S2"/>
    <mergeCell ref="C3:C4"/>
    <mergeCell ref="D3:D4"/>
    <mergeCell ref="F3:F4"/>
    <mergeCell ref="G3:G4"/>
    <mergeCell ref="M3:N3"/>
    <mergeCell ref="O3:O4"/>
    <mergeCell ref="P3:P4"/>
    <mergeCell ref="R3:R4"/>
    <mergeCell ref="S3:S4"/>
    <mergeCell ref="I2:I4"/>
    <mergeCell ref="J2:J4"/>
    <mergeCell ref="K2:K4"/>
    <mergeCell ref="L2:L4"/>
    <mergeCell ref="M2:P2"/>
    <mergeCell ref="A31:A32"/>
    <mergeCell ref="Q2:Q4"/>
    <mergeCell ref="A2:A4"/>
    <mergeCell ref="B2:B4"/>
    <mergeCell ref="C2:D2"/>
    <mergeCell ref="E2:E4"/>
    <mergeCell ref="F2:G2"/>
    <mergeCell ref="H2:H4"/>
    <mergeCell ref="A15:A16"/>
    <mergeCell ref="A5:A6"/>
    <mergeCell ref="A7:A8"/>
    <mergeCell ref="A9:A10"/>
    <mergeCell ref="A11:A12"/>
    <mergeCell ref="A13:A14"/>
    <mergeCell ref="A29:A30"/>
    <mergeCell ref="A27:A28"/>
  </mergeCells>
  <phoneticPr fontId="4"/>
  <pageMargins left="0.62" right="0.52" top="0.8" bottom="0.72" header="0.51200000000000001" footer="0.51200000000000001"/>
  <pageSetup paperSize="9" scale="61" orientation="portrait"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8EE9F-F859-4A5D-8D7D-6A6C4778C2CD}">
  <sheetPr codeName="Sheet73"/>
  <dimension ref="A1:C34"/>
  <sheetViews>
    <sheetView showGridLines="0" workbookViewId="0"/>
  </sheetViews>
  <sheetFormatPr defaultColWidth="9" defaultRowHeight="10.8"/>
  <cols>
    <col min="1" max="1" width="14.59765625" style="11" customWidth="1"/>
    <col min="2" max="3" width="25.59765625" style="11" customWidth="1"/>
    <col min="4" max="16384" width="9" style="11"/>
  </cols>
  <sheetData>
    <row r="1" spans="1:3" ht="30" customHeight="1">
      <c r="A1" s="259" t="s">
        <v>1825</v>
      </c>
    </row>
    <row r="2" spans="1:3" ht="16.8" thickBot="1">
      <c r="A2" s="259"/>
      <c r="C2" s="260" t="s">
        <v>1826</v>
      </c>
    </row>
    <row r="3" spans="1:3" ht="17.25" customHeight="1">
      <c r="A3" s="250" t="s">
        <v>1827</v>
      </c>
      <c r="B3" s="447" t="s">
        <v>1828</v>
      </c>
      <c r="C3" s="248" t="s">
        <v>1829</v>
      </c>
    </row>
    <row r="4" spans="1:3" ht="17.25" customHeight="1">
      <c r="A4" s="253"/>
      <c r="B4" s="507" t="s">
        <v>1517</v>
      </c>
      <c r="C4" s="508" t="s">
        <v>1517</v>
      </c>
    </row>
    <row r="5" spans="1:3" ht="17.25" customHeight="1">
      <c r="A5" s="247" t="s">
        <v>1830</v>
      </c>
      <c r="B5" s="945">
        <v>118972278</v>
      </c>
      <c r="C5" s="946">
        <v>70493386</v>
      </c>
    </row>
    <row r="6" spans="1:3" ht="17.25" customHeight="1">
      <c r="A6" s="247">
        <v>9</v>
      </c>
      <c r="B6" s="945">
        <v>123331276</v>
      </c>
      <c r="C6" s="946">
        <v>73574357</v>
      </c>
    </row>
    <row r="7" spans="1:3" ht="17.25" customHeight="1">
      <c r="A7" s="247">
        <v>10</v>
      </c>
      <c r="B7" s="945">
        <v>121730500</v>
      </c>
      <c r="C7" s="946">
        <v>72626815</v>
      </c>
    </row>
    <row r="8" spans="1:3" ht="17.25" customHeight="1">
      <c r="A8" s="247">
        <v>11</v>
      </c>
      <c r="B8" s="945">
        <v>123689011</v>
      </c>
      <c r="C8" s="946">
        <v>72897037</v>
      </c>
    </row>
    <row r="9" spans="1:3" ht="17.25" customHeight="1">
      <c r="A9" s="247">
        <v>12</v>
      </c>
      <c r="B9" s="945">
        <v>124575710</v>
      </c>
      <c r="C9" s="946">
        <v>70757758</v>
      </c>
    </row>
    <row r="10" spans="1:3" ht="17.25" customHeight="1">
      <c r="A10" s="247">
        <v>13</v>
      </c>
      <c r="B10" s="945">
        <v>125031635</v>
      </c>
      <c r="C10" s="946">
        <v>69385865</v>
      </c>
    </row>
    <row r="11" spans="1:3" ht="17.25" customHeight="1">
      <c r="A11" s="247">
        <v>14</v>
      </c>
      <c r="B11" s="945">
        <v>123550628</v>
      </c>
      <c r="C11" s="946">
        <v>67178667</v>
      </c>
    </row>
    <row r="12" spans="1:3" ht="17.25" customHeight="1">
      <c r="A12" s="247">
        <v>15</v>
      </c>
      <c r="B12" s="945">
        <v>121343755</v>
      </c>
      <c r="C12" s="946">
        <v>65816050</v>
      </c>
    </row>
    <row r="13" spans="1:3" ht="17.25" customHeight="1">
      <c r="A13" s="247">
        <v>16</v>
      </c>
      <c r="B13" s="945">
        <v>119184484</v>
      </c>
      <c r="C13" s="946">
        <v>64190026</v>
      </c>
    </row>
    <row r="14" spans="1:3" ht="17.25" customHeight="1">
      <c r="A14" s="247">
        <v>17</v>
      </c>
      <c r="B14" s="945">
        <v>118455152</v>
      </c>
      <c r="C14" s="946">
        <v>61205735</v>
      </c>
    </row>
    <row r="15" spans="1:3" ht="17.25" customHeight="1">
      <c r="A15" s="247">
        <v>18</v>
      </c>
      <c r="B15" s="945">
        <v>117782070</v>
      </c>
      <c r="C15" s="946">
        <v>58068333</v>
      </c>
    </row>
    <row r="16" spans="1:3" ht="17.25" customHeight="1">
      <c r="A16" s="247">
        <v>19</v>
      </c>
      <c r="B16" s="945">
        <v>118455290</v>
      </c>
      <c r="C16" s="946">
        <v>57371248</v>
      </c>
    </row>
    <row r="17" spans="1:3" ht="17.25" customHeight="1">
      <c r="A17" s="247">
        <v>20</v>
      </c>
      <c r="B17" s="945">
        <v>119294406</v>
      </c>
      <c r="C17" s="946">
        <v>55853688</v>
      </c>
    </row>
    <row r="18" spans="1:3" ht="17.25" customHeight="1">
      <c r="A18" s="247">
        <v>21</v>
      </c>
      <c r="B18" s="945">
        <v>98790811</v>
      </c>
      <c r="C18" s="946">
        <v>40009858</v>
      </c>
    </row>
    <row r="19" spans="1:3" ht="17.25" customHeight="1">
      <c r="A19" s="247">
        <v>22</v>
      </c>
      <c r="B19" s="945">
        <v>103625817</v>
      </c>
      <c r="C19" s="946">
        <v>38380219</v>
      </c>
    </row>
    <row r="20" spans="1:3" ht="17.25" customHeight="1">
      <c r="A20" s="247">
        <v>23</v>
      </c>
      <c r="B20" s="945">
        <v>104381339</v>
      </c>
      <c r="C20" s="946">
        <v>37253226</v>
      </c>
    </row>
    <row r="21" spans="1:3" ht="17.25" customHeight="1">
      <c r="A21" s="247">
        <v>24</v>
      </c>
      <c r="B21" s="945">
        <v>107645357</v>
      </c>
      <c r="C21" s="946">
        <v>36191942</v>
      </c>
    </row>
    <row r="22" spans="1:3" ht="17.25" customHeight="1">
      <c r="A22" s="247">
        <v>25</v>
      </c>
      <c r="B22" s="945">
        <v>108879494</v>
      </c>
      <c r="C22" s="946">
        <v>37225079</v>
      </c>
    </row>
    <row r="23" spans="1:3" ht="17.25" customHeight="1">
      <c r="A23" s="247">
        <v>26</v>
      </c>
      <c r="B23" s="945">
        <v>110822029</v>
      </c>
      <c r="C23" s="946">
        <v>38814861</v>
      </c>
    </row>
    <row r="24" spans="1:3" ht="17.25" customHeight="1">
      <c r="A24" s="247" t="s">
        <v>1831</v>
      </c>
      <c r="B24" s="945">
        <v>96714693</v>
      </c>
      <c r="C24" s="946">
        <v>33732533</v>
      </c>
    </row>
    <row r="25" spans="1:3" ht="17.25" customHeight="1">
      <c r="A25" s="247" t="s">
        <v>1832</v>
      </c>
      <c r="B25" s="945">
        <v>96329854</v>
      </c>
      <c r="C25" s="946">
        <v>33076051</v>
      </c>
    </row>
    <row r="26" spans="1:3" ht="17.25" customHeight="1">
      <c r="A26" s="247" t="s">
        <v>1833</v>
      </c>
      <c r="B26" s="945">
        <v>99938960</v>
      </c>
      <c r="C26" s="946">
        <v>34712856</v>
      </c>
    </row>
    <row r="27" spans="1:3" ht="17.25" customHeight="1">
      <c r="A27" s="247" t="s">
        <v>1834</v>
      </c>
      <c r="B27" s="945">
        <v>143264227</v>
      </c>
      <c r="C27" s="946">
        <v>52338172</v>
      </c>
    </row>
    <row r="28" spans="1:3" ht="17.25" customHeight="1">
      <c r="A28" s="247" t="s">
        <v>1638</v>
      </c>
      <c r="B28" s="945">
        <v>146352808</v>
      </c>
      <c r="C28" s="946">
        <v>51519182</v>
      </c>
    </row>
    <row r="29" spans="1:3" ht="17.25" customHeight="1">
      <c r="A29" s="247">
        <v>2</v>
      </c>
      <c r="B29" s="945">
        <v>150690057</v>
      </c>
      <c r="C29" s="946">
        <v>54802466</v>
      </c>
    </row>
    <row r="30" spans="1:3" ht="17.25" customHeight="1">
      <c r="A30" s="247">
        <v>3</v>
      </c>
      <c r="B30" s="947">
        <v>157938940</v>
      </c>
      <c r="C30" s="946">
        <v>54386385</v>
      </c>
    </row>
    <row r="31" spans="1:3" ht="17.25" customHeight="1">
      <c r="A31" s="247">
        <v>4</v>
      </c>
      <c r="B31" s="947">
        <v>164601909</v>
      </c>
      <c r="C31" s="946">
        <v>54510910</v>
      </c>
    </row>
    <row r="32" spans="1:3" ht="17.25" customHeight="1">
      <c r="A32" s="540">
        <v>5</v>
      </c>
      <c r="B32" s="947">
        <v>164848071</v>
      </c>
      <c r="C32" s="946">
        <v>51351531</v>
      </c>
    </row>
    <row r="33" spans="1:3" ht="17.25" customHeight="1" thickBot="1">
      <c r="A33" s="220"/>
      <c r="B33" s="948"/>
      <c r="C33" s="949"/>
    </row>
    <row r="34" spans="1:3" ht="43.5" customHeight="1">
      <c r="A34" s="2723" t="s">
        <v>1835</v>
      </c>
      <c r="B34" s="2723"/>
      <c r="C34" s="2723"/>
    </row>
  </sheetData>
  <mergeCells count="1">
    <mergeCell ref="A34:C34"/>
  </mergeCells>
  <phoneticPr fontId="4"/>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F108-26F2-4CA4-8C8F-45638A24025C}">
  <sheetPr codeName="Sheet135"/>
  <dimension ref="A1:M13"/>
  <sheetViews>
    <sheetView workbookViewId="0"/>
  </sheetViews>
  <sheetFormatPr defaultColWidth="8.09765625" defaultRowHeight="10.8"/>
  <cols>
    <col min="1" max="1" width="6" style="1756" customWidth="1"/>
    <col min="2" max="2" width="8" style="1756" customWidth="1"/>
    <col min="3" max="13" width="6" style="1756" customWidth="1"/>
    <col min="14" max="14" width="7.09765625" style="1756" customWidth="1"/>
    <col min="15" max="15" width="5.796875" style="1756" bestFit="1" customWidth="1"/>
    <col min="16" max="16" width="4.3984375" style="1756" customWidth="1"/>
    <col min="17" max="17" width="5.796875" style="1756" bestFit="1" customWidth="1"/>
    <col min="18" max="18" width="4.3984375" style="1756" customWidth="1"/>
    <col min="19" max="19" width="5.796875" style="1756" bestFit="1" customWidth="1"/>
    <col min="20" max="16384" width="8.09765625" style="1756"/>
  </cols>
  <sheetData>
    <row r="1" spans="1:13" ht="30" customHeight="1" thickBot="1">
      <c r="A1" s="1770" t="s">
        <v>3316</v>
      </c>
      <c r="B1" s="1770"/>
    </row>
    <row r="2" spans="1:13" ht="66">
      <c r="A2" s="1822" t="s">
        <v>854</v>
      </c>
      <c r="B2" s="1823" t="s">
        <v>3317</v>
      </c>
      <c r="C2" s="1824" t="s">
        <v>3318</v>
      </c>
      <c r="D2" s="1825" t="s">
        <v>3319</v>
      </c>
      <c r="E2" s="1824" t="s">
        <v>3320</v>
      </c>
      <c r="F2" s="1826" t="s">
        <v>3321</v>
      </c>
      <c r="G2" s="1826" t="s">
        <v>3322</v>
      </c>
      <c r="H2" s="1827" t="s">
        <v>3323</v>
      </c>
      <c r="I2" s="1828" t="s">
        <v>3324</v>
      </c>
      <c r="J2" s="1828" t="s">
        <v>3325</v>
      </c>
      <c r="K2" s="1824" t="s">
        <v>3326</v>
      </c>
      <c r="L2" s="1828" t="s">
        <v>3327</v>
      </c>
      <c r="M2" s="1824" t="s">
        <v>3328</v>
      </c>
    </row>
    <row r="3" spans="1:13" ht="20.399999999999999" customHeight="1">
      <c r="A3" s="2724" t="s">
        <v>43</v>
      </c>
      <c r="B3" s="1829" t="s">
        <v>3329</v>
      </c>
      <c r="C3" s="1830">
        <v>102.9</v>
      </c>
      <c r="D3" s="1830">
        <v>107.3</v>
      </c>
      <c r="E3" s="1830">
        <v>101.1</v>
      </c>
      <c r="F3" s="1830">
        <v>100.5</v>
      </c>
      <c r="G3" s="1830">
        <v>102.5</v>
      </c>
      <c r="H3" s="1831">
        <v>107.7</v>
      </c>
      <c r="I3" s="1830">
        <v>105.6</v>
      </c>
      <c r="J3" s="1830">
        <v>99.4</v>
      </c>
      <c r="K3" s="1830">
        <v>98.3</v>
      </c>
      <c r="L3" s="1830">
        <v>103.8</v>
      </c>
      <c r="M3" s="1832">
        <v>99.1</v>
      </c>
    </row>
    <row r="4" spans="1:13" ht="20.399999999999999" customHeight="1">
      <c r="A4" s="2725"/>
      <c r="B4" s="1833" t="s">
        <v>3330</v>
      </c>
      <c r="C4" s="1834">
        <v>101.8</v>
      </c>
      <c r="D4" s="1834">
        <v>105.8</v>
      </c>
      <c r="E4" s="1834">
        <v>100.4</v>
      </c>
      <c r="F4" s="1834">
        <v>98.8</v>
      </c>
      <c r="G4" s="1834">
        <v>102.5</v>
      </c>
      <c r="H4" s="1835">
        <v>103.7</v>
      </c>
      <c r="I4" s="1834">
        <v>104.3</v>
      </c>
      <c r="J4" s="1834">
        <v>98.8</v>
      </c>
      <c r="K4" s="1834">
        <v>93.2</v>
      </c>
      <c r="L4" s="1834">
        <v>103.1</v>
      </c>
      <c r="M4" s="1836">
        <v>99.3</v>
      </c>
    </row>
    <row r="5" spans="1:13" ht="20.399999999999999" customHeight="1">
      <c r="A5" s="2724">
        <v>3</v>
      </c>
      <c r="B5" s="1829" t="s">
        <v>3329</v>
      </c>
      <c r="C5" s="1830">
        <v>100</v>
      </c>
      <c r="D5" s="1830">
        <v>100.6</v>
      </c>
      <c r="E5" s="1830">
        <v>100.5</v>
      </c>
      <c r="F5" s="1830">
        <v>100.9</v>
      </c>
      <c r="G5" s="1830">
        <v>100.4</v>
      </c>
      <c r="H5" s="1831">
        <v>100.3</v>
      </c>
      <c r="I5" s="1830">
        <v>100.1</v>
      </c>
      <c r="J5" s="1830">
        <v>95.6</v>
      </c>
      <c r="K5" s="1830">
        <v>99.3</v>
      </c>
      <c r="L5" s="1830">
        <v>102.1</v>
      </c>
      <c r="M5" s="1832">
        <v>101.3</v>
      </c>
    </row>
    <row r="6" spans="1:13" ht="20.399999999999999" customHeight="1">
      <c r="A6" s="2725"/>
      <c r="B6" s="1833" t="s">
        <v>3330</v>
      </c>
      <c r="C6" s="1834">
        <v>99.8</v>
      </c>
      <c r="D6" s="1834">
        <v>100</v>
      </c>
      <c r="E6" s="1834">
        <v>100.6</v>
      </c>
      <c r="F6" s="1834">
        <v>101.3</v>
      </c>
      <c r="G6" s="1834">
        <v>101.6</v>
      </c>
      <c r="H6" s="1835">
        <v>100.4</v>
      </c>
      <c r="I6" s="1834">
        <v>99.6</v>
      </c>
      <c r="J6" s="1834">
        <v>95</v>
      </c>
      <c r="K6" s="1834">
        <v>100</v>
      </c>
      <c r="L6" s="1834">
        <v>101.6</v>
      </c>
      <c r="M6" s="1836">
        <v>101.1</v>
      </c>
    </row>
    <row r="7" spans="1:13" ht="20.399999999999999" customHeight="1">
      <c r="A7" s="2724">
        <v>4</v>
      </c>
      <c r="B7" s="1829" t="s">
        <v>3329</v>
      </c>
      <c r="C7" s="1830">
        <v>103.2</v>
      </c>
      <c r="D7" s="1830">
        <v>105.4</v>
      </c>
      <c r="E7" s="1830">
        <v>101.9</v>
      </c>
      <c r="F7" s="1830">
        <v>117.9</v>
      </c>
      <c r="G7" s="1830">
        <v>102.9</v>
      </c>
      <c r="H7" s="1831">
        <v>104.1</v>
      </c>
      <c r="I7" s="1830">
        <v>99.6</v>
      </c>
      <c r="J7" s="1830">
        <v>95.4</v>
      </c>
      <c r="K7" s="1830">
        <v>100.1</v>
      </c>
      <c r="L7" s="1830">
        <v>103.4</v>
      </c>
      <c r="M7" s="1832">
        <v>102.2</v>
      </c>
    </row>
    <row r="8" spans="1:13" ht="20.399999999999999" customHeight="1">
      <c r="A8" s="2725"/>
      <c r="B8" s="1833" t="s">
        <v>3330</v>
      </c>
      <c r="C8" s="1834">
        <v>102.3</v>
      </c>
      <c r="D8" s="1834">
        <v>104.5</v>
      </c>
      <c r="E8" s="1834">
        <v>101.3</v>
      </c>
      <c r="F8" s="1834">
        <v>116.3</v>
      </c>
      <c r="G8" s="1834">
        <v>105.5</v>
      </c>
      <c r="H8" s="1835">
        <v>102</v>
      </c>
      <c r="I8" s="1834">
        <v>99.3</v>
      </c>
      <c r="J8" s="1834">
        <v>93.6</v>
      </c>
      <c r="K8" s="1834">
        <v>100.9</v>
      </c>
      <c r="L8" s="1834">
        <v>102.7</v>
      </c>
      <c r="M8" s="1836">
        <v>102.2</v>
      </c>
    </row>
    <row r="9" spans="1:13" ht="20.399999999999999" customHeight="1">
      <c r="A9" s="2724">
        <v>5</v>
      </c>
      <c r="B9" s="1829" t="s">
        <v>3329</v>
      </c>
      <c r="C9" s="1830">
        <v>106.9</v>
      </c>
      <c r="D9" s="1830">
        <v>114.7</v>
      </c>
      <c r="E9" s="1830">
        <v>103.4</v>
      </c>
      <c r="F9" s="1830">
        <v>111.7</v>
      </c>
      <c r="G9" s="1830">
        <v>110.3</v>
      </c>
      <c r="H9" s="1831">
        <v>106.2</v>
      </c>
      <c r="I9" s="1830">
        <v>101.9</v>
      </c>
      <c r="J9" s="1830">
        <v>98.2</v>
      </c>
      <c r="K9" s="1830">
        <v>100.7</v>
      </c>
      <c r="L9" s="1830">
        <v>108.6</v>
      </c>
      <c r="M9" s="1832">
        <v>103.5</v>
      </c>
    </row>
    <row r="10" spans="1:13" ht="20.399999999999999" customHeight="1">
      <c r="A10" s="2725"/>
      <c r="B10" s="1833" t="s">
        <v>3330</v>
      </c>
      <c r="C10" s="1834">
        <v>105.6</v>
      </c>
      <c r="D10" s="1834">
        <v>112.9</v>
      </c>
      <c r="E10" s="1834">
        <v>102.3</v>
      </c>
      <c r="F10" s="1834">
        <v>108.5</v>
      </c>
      <c r="G10" s="1834">
        <v>113.8</v>
      </c>
      <c r="H10" s="1835">
        <v>105.7</v>
      </c>
      <c r="I10" s="1834">
        <v>101.2</v>
      </c>
      <c r="J10" s="1834">
        <v>95.8</v>
      </c>
      <c r="K10" s="1834">
        <v>102.1</v>
      </c>
      <c r="L10" s="1834">
        <v>107.1</v>
      </c>
      <c r="M10" s="1836">
        <v>103.7</v>
      </c>
    </row>
    <row r="11" spans="1:13" ht="20.399999999999999" customHeight="1">
      <c r="A11" s="2726"/>
      <c r="B11" s="1390"/>
      <c r="C11" s="1837"/>
      <c r="D11" s="1837"/>
      <c r="E11" s="1837"/>
      <c r="F11" s="1837"/>
      <c r="G11" s="1837"/>
      <c r="H11" s="1838"/>
      <c r="I11" s="1837"/>
      <c r="J11" s="1837"/>
      <c r="K11" s="1837"/>
      <c r="L11" s="1837"/>
      <c r="M11" s="1839"/>
    </row>
    <row r="12" spans="1:13" ht="20.399999999999999" customHeight="1" thickBot="1">
      <c r="A12" s="2727"/>
      <c r="B12" s="1397"/>
      <c r="C12" s="1840"/>
      <c r="D12" s="1840"/>
      <c r="E12" s="1840"/>
      <c r="F12" s="1840"/>
      <c r="G12" s="1840"/>
      <c r="H12" s="1841"/>
      <c r="I12" s="1840"/>
      <c r="J12" s="1840"/>
      <c r="K12" s="1840"/>
      <c r="L12" s="1840"/>
      <c r="M12" s="1842"/>
    </row>
    <row r="13" spans="1:13" ht="16.8" customHeight="1">
      <c r="A13" s="1756" t="s">
        <v>3331</v>
      </c>
    </row>
  </sheetData>
  <mergeCells count="5">
    <mergeCell ref="A3:A4"/>
    <mergeCell ref="A5:A6"/>
    <mergeCell ref="A7:A8"/>
    <mergeCell ref="A9:A10"/>
    <mergeCell ref="A11:A12"/>
  </mergeCells>
  <phoneticPr fontId="4"/>
  <pageMargins left="0.7" right="0.7" top="0.75" bottom="0.75" header="0.3" footer="0.3"/>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45A8-7732-4EE8-9436-6D71D501039E}">
  <sheetPr codeName="Sheet136"/>
  <dimension ref="A1:M7"/>
  <sheetViews>
    <sheetView workbookViewId="0"/>
  </sheetViews>
  <sheetFormatPr defaultRowHeight="26.4" customHeight="1"/>
  <cols>
    <col min="1" max="1" width="13" style="1236" customWidth="1"/>
    <col min="2" max="2" width="4.5" style="1236" customWidth="1"/>
    <col min="3" max="4" width="6.09765625" style="1236" customWidth="1"/>
    <col min="5" max="5" width="4.5" style="1236" customWidth="1"/>
    <col min="6" max="7" width="6.09765625" style="1236" customWidth="1"/>
    <col min="8" max="8" width="4.5" style="1236" customWidth="1"/>
    <col min="9" max="10" width="6.09765625" style="1236" customWidth="1"/>
    <col min="11" max="11" width="4.5" style="1236" customWidth="1"/>
    <col min="12" max="13" width="6.09765625" style="1236" customWidth="1"/>
    <col min="14" max="256" width="8.796875" style="1236"/>
    <col min="257" max="257" width="13" style="1236" customWidth="1"/>
    <col min="258" max="258" width="4" style="1236" bestFit="1" customWidth="1"/>
    <col min="259" max="260" width="6.09765625" style="1236" bestFit="1" customWidth="1"/>
    <col min="261" max="261" width="4" style="1236" bestFit="1" customWidth="1"/>
    <col min="262" max="263" width="6" style="1236" customWidth="1"/>
    <col min="264" max="264" width="4" style="1236" bestFit="1" customWidth="1"/>
    <col min="265" max="266" width="6.09765625" style="1236" bestFit="1" customWidth="1"/>
    <col min="267" max="267" width="3.69921875" style="1236" customWidth="1"/>
    <col min="268" max="269" width="6" style="1236" customWidth="1"/>
    <col min="270" max="512" width="8.796875" style="1236"/>
    <col min="513" max="513" width="13" style="1236" customWidth="1"/>
    <col min="514" max="514" width="4" style="1236" bestFit="1" customWidth="1"/>
    <col min="515" max="516" width="6.09765625" style="1236" bestFit="1" customWidth="1"/>
    <col min="517" max="517" width="4" style="1236" bestFit="1" customWidth="1"/>
    <col min="518" max="519" width="6" style="1236" customWidth="1"/>
    <col min="520" max="520" width="4" style="1236" bestFit="1" customWidth="1"/>
    <col min="521" max="522" width="6.09765625" style="1236" bestFit="1" customWidth="1"/>
    <col min="523" max="523" width="3.69921875" style="1236" customWidth="1"/>
    <col min="524" max="525" width="6" style="1236" customWidth="1"/>
    <col min="526" max="768" width="8.796875" style="1236"/>
    <col min="769" max="769" width="13" style="1236" customWidth="1"/>
    <col min="770" max="770" width="4" style="1236" bestFit="1" customWidth="1"/>
    <col min="771" max="772" width="6.09765625" style="1236" bestFit="1" customWidth="1"/>
    <col min="773" max="773" width="4" style="1236" bestFit="1" customWidth="1"/>
    <col min="774" max="775" width="6" style="1236" customWidth="1"/>
    <col min="776" max="776" width="4" style="1236" bestFit="1" customWidth="1"/>
    <col min="777" max="778" width="6.09765625" style="1236" bestFit="1" customWidth="1"/>
    <col min="779" max="779" width="3.69921875" style="1236" customWidth="1"/>
    <col min="780" max="781" width="6" style="1236" customWidth="1"/>
    <col min="782" max="1024" width="8.796875" style="1236"/>
    <col min="1025" max="1025" width="13" style="1236" customWidth="1"/>
    <col min="1026" max="1026" width="4" style="1236" bestFit="1" customWidth="1"/>
    <col min="1027" max="1028" width="6.09765625" style="1236" bestFit="1" customWidth="1"/>
    <col min="1029" max="1029" width="4" style="1236" bestFit="1" customWidth="1"/>
    <col min="1030" max="1031" width="6" style="1236" customWidth="1"/>
    <col min="1032" max="1032" width="4" style="1236" bestFit="1" customWidth="1"/>
    <col min="1033" max="1034" width="6.09765625" style="1236" bestFit="1" customWidth="1"/>
    <col min="1035" max="1035" width="3.69921875" style="1236" customWidth="1"/>
    <col min="1036" max="1037" width="6" style="1236" customWidth="1"/>
    <col min="1038" max="1280" width="8.796875" style="1236"/>
    <col min="1281" max="1281" width="13" style="1236" customWidth="1"/>
    <col min="1282" max="1282" width="4" style="1236" bestFit="1" customWidth="1"/>
    <col min="1283" max="1284" width="6.09765625" style="1236" bestFit="1" customWidth="1"/>
    <col min="1285" max="1285" width="4" style="1236" bestFit="1" customWidth="1"/>
    <col min="1286" max="1287" width="6" style="1236" customWidth="1"/>
    <col min="1288" max="1288" width="4" style="1236" bestFit="1" customWidth="1"/>
    <col min="1289" max="1290" width="6.09765625" style="1236" bestFit="1" customWidth="1"/>
    <col min="1291" max="1291" width="3.69921875" style="1236" customWidth="1"/>
    <col min="1292" max="1293" width="6" style="1236" customWidth="1"/>
    <col min="1294" max="1536" width="8.796875" style="1236"/>
    <col min="1537" max="1537" width="13" style="1236" customWidth="1"/>
    <col min="1538" max="1538" width="4" style="1236" bestFit="1" customWidth="1"/>
    <col min="1539" max="1540" width="6.09765625" style="1236" bestFit="1" customWidth="1"/>
    <col min="1541" max="1541" width="4" style="1236" bestFit="1" customWidth="1"/>
    <col min="1542" max="1543" width="6" style="1236" customWidth="1"/>
    <col min="1544" max="1544" width="4" style="1236" bestFit="1" customWidth="1"/>
    <col min="1545" max="1546" width="6.09765625" style="1236" bestFit="1" customWidth="1"/>
    <col min="1547" max="1547" width="3.69921875" style="1236" customWidth="1"/>
    <col min="1548" max="1549" width="6" style="1236" customWidth="1"/>
    <col min="1550" max="1792" width="8.796875" style="1236"/>
    <col min="1793" max="1793" width="13" style="1236" customWidth="1"/>
    <col min="1794" max="1794" width="4" style="1236" bestFit="1" customWidth="1"/>
    <col min="1795" max="1796" width="6.09765625" style="1236" bestFit="1" customWidth="1"/>
    <col min="1797" max="1797" width="4" style="1236" bestFit="1" customWidth="1"/>
    <col min="1798" max="1799" width="6" style="1236" customWidth="1"/>
    <col min="1800" max="1800" width="4" style="1236" bestFit="1" customWidth="1"/>
    <col min="1801" max="1802" width="6.09765625" style="1236" bestFit="1" customWidth="1"/>
    <col min="1803" max="1803" width="3.69921875" style="1236" customWidth="1"/>
    <col min="1804" max="1805" width="6" style="1236" customWidth="1"/>
    <col min="1806" max="2048" width="8.796875" style="1236"/>
    <col min="2049" max="2049" width="13" style="1236" customWidth="1"/>
    <col min="2050" max="2050" width="4" style="1236" bestFit="1" customWidth="1"/>
    <col min="2051" max="2052" width="6.09765625" style="1236" bestFit="1" customWidth="1"/>
    <col min="2053" max="2053" width="4" style="1236" bestFit="1" customWidth="1"/>
    <col min="2054" max="2055" width="6" style="1236" customWidth="1"/>
    <col min="2056" max="2056" width="4" style="1236" bestFit="1" customWidth="1"/>
    <col min="2057" max="2058" width="6.09765625" style="1236" bestFit="1" customWidth="1"/>
    <col min="2059" max="2059" width="3.69921875" style="1236" customWidth="1"/>
    <col min="2060" max="2061" width="6" style="1236" customWidth="1"/>
    <col min="2062" max="2304" width="8.796875" style="1236"/>
    <col min="2305" max="2305" width="13" style="1236" customWidth="1"/>
    <col min="2306" max="2306" width="4" style="1236" bestFit="1" customWidth="1"/>
    <col min="2307" max="2308" width="6.09765625" style="1236" bestFit="1" customWidth="1"/>
    <col min="2309" max="2309" width="4" style="1236" bestFit="1" customWidth="1"/>
    <col min="2310" max="2311" width="6" style="1236" customWidth="1"/>
    <col min="2312" max="2312" width="4" style="1236" bestFit="1" customWidth="1"/>
    <col min="2313" max="2314" width="6.09765625" style="1236" bestFit="1" customWidth="1"/>
    <col min="2315" max="2315" width="3.69921875" style="1236" customWidth="1"/>
    <col min="2316" max="2317" width="6" style="1236" customWidth="1"/>
    <col min="2318" max="2560" width="8.796875" style="1236"/>
    <col min="2561" max="2561" width="13" style="1236" customWidth="1"/>
    <col min="2562" max="2562" width="4" style="1236" bestFit="1" customWidth="1"/>
    <col min="2563" max="2564" width="6.09765625" style="1236" bestFit="1" customWidth="1"/>
    <col min="2565" max="2565" width="4" style="1236" bestFit="1" customWidth="1"/>
    <col min="2566" max="2567" width="6" style="1236" customWidth="1"/>
    <col min="2568" max="2568" width="4" style="1236" bestFit="1" customWidth="1"/>
    <col min="2569" max="2570" width="6.09765625" style="1236" bestFit="1" customWidth="1"/>
    <col min="2571" max="2571" width="3.69921875" style="1236" customWidth="1"/>
    <col min="2572" max="2573" width="6" style="1236" customWidth="1"/>
    <col min="2574" max="2816" width="8.796875" style="1236"/>
    <col min="2817" max="2817" width="13" style="1236" customWidth="1"/>
    <col min="2818" max="2818" width="4" style="1236" bestFit="1" customWidth="1"/>
    <col min="2819" max="2820" width="6.09765625" style="1236" bestFit="1" customWidth="1"/>
    <col min="2821" max="2821" width="4" style="1236" bestFit="1" customWidth="1"/>
    <col min="2822" max="2823" width="6" style="1236" customWidth="1"/>
    <col min="2824" max="2824" width="4" style="1236" bestFit="1" customWidth="1"/>
    <col min="2825" max="2826" width="6.09765625" style="1236" bestFit="1" customWidth="1"/>
    <col min="2827" max="2827" width="3.69921875" style="1236" customWidth="1"/>
    <col min="2828" max="2829" width="6" style="1236" customWidth="1"/>
    <col min="2830" max="3072" width="8.796875" style="1236"/>
    <col min="3073" max="3073" width="13" style="1236" customWidth="1"/>
    <col min="3074" max="3074" width="4" style="1236" bestFit="1" customWidth="1"/>
    <col min="3075" max="3076" width="6.09765625" style="1236" bestFit="1" customWidth="1"/>
    <col min="3077" max="3077" width="4" style="1236" bestFit="1" customWidth="1"/>
    <col min="3078" max="3079" width="6" style="1236" customWidth="1"/>
    <col min="3080" max="3080" width="4" style="1236" bestFit="1" customWidth="1"/>
    <col min="3081" max="3082" width="6.09765625" style="1236" bestFit="1" customWidth="1"/>
    <col min="3083" max="3083" width="3.69921875" style="1236" customWidth="1"/>
    <col min="3084" max="3085" width="6" style="1236" customWidth="1"/>
    <col min="3086" max="3328" width="8.796875" style="1236"/>
    <col min="3329" max="3329" width="13" style="1236" customWidth="1"/>
    <col min="3330" max="3330" width="4" style="1236" bestFit="1" customWidth="1"/>
    <col min="3331" max="3332" width="6.09765625" style="1236" bestFit="1" customWidth="1"/>
    <col min="3333" max="3333" width="4" style="1236" bestFit="1" customWidth="1"/>
    <col min="3334" max="3335" width="6" style="1236" customWidth="1"/>
    <col min="3336" max="3336" width="4" style="1236" bestFit="1" customWidth="1"/>
    <col min="3337" max="3338" width="6.09765625" style="1236" bestFit="1" customWidth="1"/>
    <col min="3339" max="3339" width="3.69921875" style="1236" customWidth="1"/>
    <col min="3340" max="3341" width="6" style="1236" customWidth="1"/>
    <col min="3342" max="3584" width="8.796875" style="1236"/>
    <col min="3585" max="3585" width="13" style="1236" customWidth="1"/>
    <col min="3586" max="3586" width="4" style="1236" bestFit="1" customWidth="1"/>
    <col min="3587" max="3588" width="6.09765625" style="1236" bestFit="1" customWidth="1"/>
    <col min="3589" max="3589" width="4" style="1236" bestFit="1" customWidth="1"/>
    <col min="3590" max="3591" width="6" style="1236" customWidth="1"/>
    <col min="3592" max="3592" width="4" style="1236" bestFit="1" customWidth="1"/>
    <col min="3593" max="3594" width="6.09765625" style="1236" bestFit="1" customWidth="1"/>
    <col min="3595" max="3595" width="3.69921875" style="1236" customWidth="1"/>
    <col min="3596" max="3597" width="6" style="1236" customWidth="1"/>
    <col min="3598" max="3840" width="8.796875" style="1236"/>
    <col min="3841" max="3841" width="13" style="1236" customWidth="1"/>
    <col min="3842" max="3842" width="4" style="1236" bestFit="1" customWidth="1"/>
    <col min="3843" max="3844" width="6.09765625" style="1236" bestFit="1" customWidth="1"/>
    <col min="3845" max="3845" width="4" style="1236" bestFit="1" customWidth="1"/>
    <col min="3846" max="3847" width="6" style="1236" customWidth="1"/>
    <col min="3848" max="3848" width="4" style="1236" bestFit="1" customWidth="1"/>
    <col min="3849" max="3850" width="6.09765625" style="1236" bestFit="1" customWidth="1"/>
    <col min="3851" max="3851" width="3.69921875" style="1236" customWidth="1"/>
    <col min="3852" max="3853" width="6" style="1236" customWidth="1"/>
    <col min="3854" max="4096" width="8.796875" style="1236"/>
    <col min="4097" max="4097" width="13" style="1236" customWidth="1"/>
    <col min="4098" max="4098" width="4" style="1236" bestFit="1" customWidth="1"/>
    <col min="4099" max="4100" width="6.09765625" style="1236" bestFit="1" customWidth="1"/>
    <col min="4101" max="4101" width="4" style="1236" bestFit="1" customWidth="1"/>
    <col min="4102" max="4103" width="6" style="1236" customWidth="1"/>
    <col min="4104" max="4104" width="4" style="1236" bestFit="1" customWidth="1"/>
    <col min="4105" max="4106" width="6.09765625" style="1236" bestFit="1" customWidth="1"/>
    <col min="4107" max="4107" width="3.69921875" style="1236" customWidth="1"/>
    <col min="4108" max="4109" width="6" style="1236" customWidth="1"/>
    <col min="4110" max="4352" width="8.796875" style="1236"/>
    <col min="4353" max="4353" width="13" style="1236" customWidth="1"/>
    <col min="4354" max="4354" width="4" style="1236" bestFit="1" customWidth="1"/>
    <col min="4355" max="4356" width="6.09765625" style="1236" bestFit="1" customWidth="1"/>
    <col min="4357" max="4357" width="4" style="1236" bestFit="1" customWidth="1"/>
    <col min="4358" max="4359" width="6" style="1236" customWidth="1"/>
    <col min="4360" max="4360" width="4" style="1236" bestFit="1" customWidth="1"/>
    <col min="4361" max="4362" width="6.09765625" style="1236" bestFit="1" customWidth="1"/>
    <col min="4363" max="4363" width="3.69921875" style="1236" customWidth="1"/>
    <col min="4364" max="4365" width="6" style="1236" customWidth="1"/>
    <col min="4366" max="4608" width="8.796875" style="1236"/>
    <col min="4609" max="4609" width="13" style="1236" customWidth="1"/>
    <col min="4610" max="4610" width="4" style="1236" bestFit="1" customWidth="1"/>
    <col min="4611" max="4612" width="6.09765625" style="1236" bestFit="1" customWidth="1"/>
    <col min="4613" max="4613" width="4" style="1236" bestFit="1" customWidth="1"/>
    <col min="4614" max="4615" width="6" style="1236" customWidth="1"/>
    <col min="4616" max="4616" width="4" style="1236" bestFit="1" customWidth="1"/>
    <col min="4617" max="4618" width="6.09765625" style="1236" bestFit="1" customWidth="1"/>
    <col min="4619" max="4619" width="3.69921875" style="1236" customWidth="1"/>
    <col min="4620" max="4621" width="6" style="1236" customWidth="1"/>
    <col min="4622" max="4864" width="8.796875" style="1236"/>
    <col min="4865" max="4865" width="13" style="1236" customWidth="1"/>
    <col min="4866" max="4866" width="4" style="1236" bestFit="1" customWidth="1"/>
    <col min="4867" max="4868" width="6.09765625" style="1236" bestFit="1" customWidth="1"/>
    <col min="4869" max="4869" width="4" style="1236" bestFit="1" customWidth="1"/>
    <col min="4870" max="4871" width="6" style="1236" customWidth="1"/>
    <col min="4872" max="4872" width="4" style="1236" bestFit="1" customWidth="1"/>
    <col min="4873" max="4874" width="6.09765625" style="1236" bestFit="1" customWidth="1"/>
    <col min="4875" max="4875" width="3.69921875" style="1236" customWidth="1"/>
    <col min="4876" max="4877" width="6" style="1236" customWidth="1"/>
    <col min="4878" max="5120" width="8.796875" style="1236"/>
    <col min="5121" max="5121" width="13" style="1236" customWidth="1"/>
    <col min="5122" max="5122" width="4" style="1236" bestFit="1" customWidth="1"/>
    <col min="5123" max="5124" width="6.09765625" style="1236" bestFit="1" customWidth="1"/>
    <col min="5125" max="5125" width="4" style="1236" bestFit="1" customWidth="1"/>
    <col min="5126" max="5127" width="6" style="1236" customWidth="1"/>
    <col min="5128" max="5128" width="4" style="1236" bestFit="1" customWidth="1"/>
    <col min="5129" max="5130" width="6.09765625" style="1236" bestFit="1" customWidth="1"/>
    <col min="5131" max="5131" width="3.69921875" style="1236" customWidth="1"/>
    <col min="5132" max="5133" width="6" style="1236" customWidth="1"/>
    <col min="5134" max="5376" width="8.796875" style="1236"/>
    <col min="5377" max="5377" width="13" style="1236" customWidth="1"/>
    <col min="5378" max="5378" width="4" style="1236" bestFit="1" customWidth="1"/>
    <col min="5379" max="5380" width="6.09765625" style="1236" bestFit="1" customWidth="1"/>
    <col min="5381" max="5381" width="4" style="1236" bestFit="1" customWidth="1"/>
    <col min="5382" max="5383" width="6" style="1236" customWidth="1"/>
    <col min="5384" max="5384" width="4" style="1236" bestFit="1" customWidth="1"/>
    <col min="5385" max="5386" width="6.09765625" style="1236" bestFit="1" customWidth="1"/>
    <col min="5387" max="5387" width="3.69921875" style="1236" customWidth="1"/>
    <col min="5388" max="5389" width="6" style="1236" customWidth="1"/>
    <col min="5390" max="5632" width="8.796875" style="1236"/>
    <col min="5633" max="5633" width="13" style="1236" customWidth="1"/>
    <col min="5634" max="5634" width="4" style="1236" bestFit="1" customWidth="1"/>
    <col min="5635" max="5636" width="6.09765625" style="1236" bestFit="1" customWidth="1"/>
    <col min="5637" max="5637" width="4" style="1236" bestFit="1" customWidth="1"/>
    <col min="5638" max="5639" width="6" style="1236" customWidth="1"/>
    <col min="5640" max="5640" width="4" style="1236" bestFit="1" customWidth="1"/>
    <col min="5641" max="5642" width="6.09765625" style="1236" bestFit="1" customWidth="1"/>
    <col min="5643" max="5643" width="3.69921875" style="1236" customWidth="1"/>
    <col min="5644" max="5645" width="6" style="1236" customWidth="1"/>
    <col min="5646" max="5888" width="8.796875" style="1236"/>
    <col min="5889" max="5889" width="13" style="1236" customWidth="1"/>
    <col min="5890" max="5890" width="4" style="1236" bestFit="1" customWidth="1"/>
    <col min="5891" max="5892" width="6.09765625" style="1236" bestFit="1" customWidth="1"/>
    <col min="5893" max="5893" width="4" style="1236" bestFit="1" customWidth="1"/>
    <col min="5894" max="5895" width="6" style="1236" customWidth="1"/>
    <col min="5896" max="5896" width="4" style="1236" bestFit="1" customWidth="1"/>
    <col min="5897" max="5898" width="6.09765625" style="1236" bestFit="1" customWidth="1"/>
    <col min="5899" max="5899" width="3.69921875" style="1236" customWidth="1"/>
    <col min="5900" max="5901" width="6" style="1236" customWidth="1"/>
    <col min="5902" max="6144" width="8.796875" style="1236"/>
    <col min="6145" max="6145" width="13" style="1236" customWidth="1"/>
    <col min="6146" max="6146" width="4" style="1236" bestFit="1" customWidth="1"/>
    <col min="6147" max="6148" width="6.09765625" style="1236" bestFit="1" customWidth="1"/>
    <col min="6149" max="6149" width="4" style="1236" bestFit="1" customWidth="1"/>
    <col min="6150" max="6151" width="6" style="1236" customWidth="1"/>
    <col min="6152" max="6152" width="4" style="1236" bestFit="1" customWidth="1"/>
    <col min="6153" max="6154" width="6.09765625" style="1236" bestFit="1" customWidth="1"/>
    <col min="6155" max="6155" width="3.69921875" style="1236" customWidth="1"/>
    <col min="6156" max="6157" width="6" style="1236" customWidth="1"/>
    <col min="6158" max="6400" width="8.796875" style="1236"/>
    <col min="6401" max="6401" width="13" style="1236" customWidth="1"/>
    <col min="6402" max="6402" width="4" style="1236" bestFit="1" customWidth="1"/>
    <col min="6403" max="6404" width="6.09765625" style="1236" bestFit="1" customWidth="1"/>
    <col min="6405" max="6405" width="4" style="1236" bestFit="1" customWidth="1"/>
    <col min="6406" max="6407" width="6" style="1236" customWidth="1"/>
    <col min="6408" max="6408" width="4" style="1236" bestFit="1" customWidth="1"/>
    <col min="6409" max="6410" width="6.09765625" style="1236" bestFit="1" customWidth="1"/>
    <col min="6411" max="6411" width="3.69921875" style="1236" customWidth="1"/>
    <col min="6412" max="6413" width="6" style="1236" customWidth="1"/>
    <col min="6414" max="6656" width="8.796875" style="1236"/>
    <col min="6657" max="6657" width="13" style="1236" customWidth="1"/>
    <col min="6658" max="6658" width="4" style="1236" bestFit="1" customWidth="1"/>
    <col min="6659" max="6660" width="6.09765625" style="1236" bestFit="1" customWidth="1"/>
    <col min="6661" max="6661" width="4" style="1236" bestFit="1" customWidth="1"/>
    <col min="6662" max="6663" width="6" style="1236" customWidth="1"/>
    <col min="6664" max="6664" width="4" style="1236" bestFit="1" customWidth="1"/>
    <col min="6665" max="6666" width="6.09765625" style="1236" bestFit="1" customWidth="1"/>
    <col min="6667" max="6667" width="3.69921875" style="1236" customWidth="1"/>
    <col min="6668" max="6669" width="6" style="1236" customWidth="1"/>
    <col min="6670" max="6912" width="8.796875" style="1236"/>
    <col min="6913" max="6913" width="13" style="1236" customWidth="1"/>
    <col min="6914" max="6914" width="4" style="1236" bestFit="1" customWidth="1"/>
    <col min="6915" max="6916" width="6.09765625" style="1236" bestFit="1" customWidth="1"/>
    <col min="6917" max="6917" width="4" style="1236" bestFit="1" customWidth="1"/>
    <col min="6918" max="6919" width="6" style="1236" customWidth="1"/>
    <col min="6920" max="6920" width="4" style="1236" bestFit="1" customWidth="1"/>
    <col min="6921" max="6922" width="6.09765625" style="1236" bestFit="1" customWidth="1"/>
    <col min="6923" max="6923" width="3.69921875" style="1236" customWidth="1"/>
    <col min="6924" max="6925" width="6" style="1236" customWidth="1"/>
    <col min="6926" max="7168" width="8.796875" style="1236"/>
    <col min="7169" max="7169" width="13" style="1236" customWidth="1"/>
    <col min="7170" max="7170" width="4" style="1236" bestFit="1" customWidth="1"/>
    <col min="7171" max="7172" width="6.09765625" style="1236" bestFit="1" customWidth="1"/>
    <col min="7173" max="7173" width="4" style="1236" bestFit="1" customWidth="1"/>
    <col min="7174" max="7175" width="6" style="1236" customWidth="1"/>
    <col min="7176" max="7176" width="4" style="1236" bestFit="1" customWidth="1"/>
    <col min="7177" max="7178" width="6.09765625" style="1236" bestFit="1" customWidth="1"/>
    <col min="7179" max="7179" width="3.69921875" style="1236" customWidth="1"/>
    <col min="7180" max="7181" width="6" style="1236" customWidth="1"/>
    <col min="7182" max="7424" width="8.796875" style="1236"/>
    <col min="7425" max="7425" width="13" style="1236" customWidth="1"/>
    <col min="7426" max="7426" width="4" style="1236" bestFit="1" customWidth="1"/>
    <col min="7427" max="7428" width="6.09765625" style="1236" bestFit="1" customWidth="1"/>
    <col min="7429" max="7429" width="4" style="1236" bestFit="1" customWidth="1"/>
    <col min="7430" max="7431" width="6" style="1236" customWidth="1"/>
    <col min="7432" max="7432" width="4" style="1236" bestFit="1" customWidth="1"/>
    <col min="7433" max="7434" width="6.09765625" style="1236" bestFit="1" customWidth="1"/>
    <col min="7435" max="7435" width="3.69921875" style="1236" customWidth="1"/>
    <col min="7436" max="7437" width="6" style="1236" customWidth="1"/>
    <col min="7438" max="7680" width="8.796875" style="1236"/>
    <col min="7681" max="7681" width="13" style="1236" customWidth="1"/>
    <col min="7682" max="7682" width="4" style="1236" bestFit="1" customWidth="1"/>
    <col min="7683" max="7684" width="6.09765625" style="1236" bestFit="1" customWidth="1"/>
    <col min="7685" max="7685" width="4" style="1236" bestFit="1" customWidth="1"/>
    <col min="7686" max="7687" width="6" style="1236" customWidth="1"/>
    <col min="7688" max="7688" width="4" style="1236" bestFit="1" customWidth="1"/>
    <col min="7689" max="7690" width="6.09765625" style="1236" bestFit="1" customWidth="1"/>
    <col min="7691" max="7691" width="3.69921875" style="1236" customWidth="1"/>
    <col min="7692" max="7693" width="6" style="1236" customWidth="1"/>
    <col min="7694" max="7936" width="8.796875" style="1236"/>
    <col min="7937" max="7937" width="13" style="1236" customWidth="1"/>
    <col min="7938" max="7938" width="4" style="1236" bestFit="1" customWidth="1"/>
    <col min="7939" max="7940" width="6.09765625" style="1236" bestFit="1" customWidth="1"/>
    <col min="7941" max="7941" width="4" style="1236" bestFit="1" customWidth="1"/>
    <col min="7942" max="7943" width="6" style="1236" customWidth="1"/>
    <col min="7944" max="7944" width="4" style="1236" bestFit="1" customWidth="1"/>
    <col min="7945" max="7946" width="6.09765625" style="1236" bestFit="1" customWidth="1"/>
    <col min="7947" max="7947" width="3.69921875" style="1236" customWidth="1"/>
    <col min="7948" max="7949" width="6" style="1236" customWidth="1"/>
    <col min="7950" max="8192" width="8.796875" style="1236"/>
    <col min="8193" max="8193" width="13" style="1236" customWidth="1"/>
    <col min="8194" max="8194" width="4" style="1236" bestFit="1" customWidth="1"/>
    <col min="8195" max="8196" width="6.09765625" style="1236" bestFit="1" customWidth="1"/>
    <col min="8197" max="8197" width="4" style="1236" bestFit="1" customWidth="1"/>
    <col min="8198" max="8199" width="6" style="1236" customWidth="1"/>
    <col min="8200" max="8200" width="4" style="1236" bestFit="1" customWidth="1"/>
    <col min="8201" max="8202" width="6.09765625" style="1236" bestFit="1" customWidth="1"/>
    <col min="8203" max="8203" width="3.69921875" style="1236" customWidth="1"/>
    <col min="8204" max="8205" width="6" style="1236" customWidth="1"/>
    <col min="8206" max="8448" width="8.796875" style="1236"/>
    <col min="8449" max="8449" width="13" style="1236" customWidth="1"/>
    <col min="8450" max="8450" width="4" style="1236" bestFit="1" customWidth="1"/>
    <col min="8451" max="8452" width="6.09765625" style="1236" bestFit="1" customWidth="1"/>
    <col min="8453" max="8453" width="4" style="1236" bestFit="1" customWidth="1"/>
    <col min="8454" max="8455" width="6" style="1236" customWidth="1"/>
    <col min="8456" max="8456" width="4" style="1236" bestFit="1" customWidth="1"/>
    <col min="8457" max="8458" width="6.09765625" style="1236" bestFit="1" customWidth="1"/>
    <col min="8459" max="8459" width="3.69921875" style="1236" customWidth="1"/>
    <col min="8460" max="8461" width="6" style="1236" customWidth="1"/>
    <col min="8462" max="8704" width="8.796875" style="1236"/>
    <col min="8705" max="8705" width="13" style="1236" customWidth="1"/>
    <col min="8706" max="8706" width="4" style="1236" bestFit="1" customWidth="1"/>
    <col min="8707" max="8708" width="6.09765625" style="1236" bestFit="1" customWidth="1"/>
    <col min="8709" max="8709" width="4" style="1236" bestFit="1" customWidth="1"/>
    <col min="8710" max="8711" width="6" style="1236" customWidth="1"/>
    <col min="8712" max="8712" width="4" style="1236" bestFit="1" customWidth="1"/>
    <col min="8713" max="8714" width="6.09765625" style="1236" bestFit="1" customWidth="1"/>
    <col min="8715" max="8715" width="3.69921875" style="1236" customWidth="1"/>
    <col min="8716" max="8717" width="6" style="1236" customWidth="1"/>
    <col min="8718" max="8960" width="8.796875" style="1236"/>
    <col min="8961" max="8961" width="13" style="1236" customWidth="1"/>
    <col min="8962" max="8962" width="4" style="1236" bestFit="1" customWidth="1"/>
    <col min="8963" max="8964" width="6.09765625" style="1236" bestFit="1" customWidth="1"/>
    <col min="8965" max="8965" width="4" style="1236" bestFit="1" customWidth="1"/>
    <col min="8966" max="8967" width="6" style="1236" customWidth="1"/>
    <col min="8968" max="8968" width="4" style="1236" bestFit="1" customWidth="1"/>
    <col min="8969" max="8970" width="6.09765625" style="1236" bestFit="1" customWidth="1"/>
    <col min="8971" max="8971" width="3.69921875" style="1236" customWidth="1"/>
    <col min="8972" max="8973" width="6" style="1236" customWidth="1"/>
    <col min="8974" max="9216" width="8.796875" style="1236"/>
    <col min="9217" max="9217" width="13" style="1236" customWidth="1"/>
    <col min="9218" max="9218" width="4" style="1236" bestFit="1" customWidth="1"/>
    <col min="9219" max="9220" width="6.09765625" style="1236" bestFit="1" customWidth="1"/>
    <col min="9221" max="9221" width="4" style="1236" bestFit="1" customWidth="1"/>
    <col min="9222" max="9223" width="6" style="1236" customWidth="1"/>
    <col min="9224" max="9224" width="4" style="1236" bestFit="1" customWidth="1"/>
    <col min="9225" max="9226" width="6.09765625" style="1236" bestFit="1" customWidth="1"/>
    <col min="9227" max="9227" width="3.69921875" style="1236" customWidth="1"/>
    <col min="9228" max="9229" width="6" style="1236" customWidth="1"/>
    <col min="9230" max="9472" width="8.796875" style="1236"/>
    <col min="9473" max="9473" width="13" style="1236" customWidth="1"/>
    <col min="9474" max="9474" width="4" style="1236" bestFit="1" customWidth="1"/>
    <col min="9475" max="9476" width="6.09765625" style="1236" bestFit="1" customWidth="1"/>
    <col min="9477" max="9477" width="4" style="1236" bestFit="1" customWidth="1"/>
    <col min="9478" max="9479" width="6" style="1236" customWidth="1"/>
    <col min="9480" max="9480" width="4" style="1236" bestFit="1" customWidth="1"/>
    <col min="9481" max="9482" width="6.09765625" style="1236" bestFit="1" customWidth="1"/>
    <col min="9483" max="9483" width="3.69921875" style="1236" customWidth="1"/>
    <col min="9484" max="9485" width="6" style="1236" customWidth="1"/>
    <col min="9486" max="9728" width="8.796875" style="1236"/>
    <col min="9729" max="9729" width="13" style="1236" customWidth="1"/>
    <col min="9730" max="9730" width="4" style="1236" bestFit="1" customWidth="1"/>
    <col min="9731" max="9732" width="6.09765625" style="1236" bestFit="1" customWidth="1"/>
    <col min="9733" max="9733" width="4" style="1236" bestFit="1" customWidth="1"/>
    <col min="9734" max="9735" width="6" style="1236" customWidth="1"/>
    <col min="9736" max="9736" width="4" style="1236" bestFit="1" customWidth="1"/>
    <col min="9737" max="9738" width="6.09765625" style="1236" bestFit="1" customWidth="1"/>
    <col min="9739" max="9739" width="3.69921875" style="1236" customWidth="1"/>
    <col min="9740" max="9741" width="6" style="1236" customWidth="1"/>
    <col min="9742" max="9984" width="8.796875" style="1236"/>
    <col min="9985" max="9985" width="13" style="1236" customWidth="1"/>
    <col min="9986" max="9986" width="4" style="1236" bestFit="1" customWidth="1"/>
    <col min="9987" max="9988" width="6.09765625" style="1236" bestFit="1" customWidth="1"/>
    <col min="9989" max="9989" width="4" style="1236" bestFit="1" customWidth="1"/>
    <col min="9990" max="9991" width="6" style="1236" customWidth="1"/>
    <col min="9992" max="9992" width="4" style="1236" bestFit="1" customWidth="1"/>
    <col min="9993" max="9994" width="6.09765625" style="1236" bestFit="1" customWidth="1"/>
    <col min="9995" max="9995" width="3.69921875" style="1236" customWidth="1"/>
    <col min="9996" max="9997" width="6" style="1236" customWidth="1"/>
    <col min="9998" max="10240" width="8.796875" style="1236"/>
    <col min="10241" max="10241" width="13" style="1236" customWidth="1"/>
    <col min="10242" max="10242" width="4" style="1236" bestFit="1" customWidth="1"/>
    <col min="10243" max="10244" width="6.09765625" style="1236" bestFit="1" customWidth="1"/>
    <col min="10245" max="10245" width="4" style="1236" bestFit="1" customWidth="1"/>
    <col min="10246" max="10247" width="6" style="1236" customWidth="1"/>
    <col min="10248" max="10248" width="4" style="1236" bestFit="1" customWidth="1"/>
    <col min="10249" max="10250" width="6.09765625" style="1236" bestFit="1" customWidth="1"/>
    <col min="10251" max="10251" width="3.69921875" style="1236" customWidth="1"/>
    <col min="10252" max="10253" width="6" style="1236" customWidth="1"/>
    <col min="10254" max="10496" width="8.796875" style="1236"/>
    <col min="10497" max="10497" width="13" style="1236" customWidth="1"/>
    <col min="10498" max="10498" width="4" style="1236" bestFit="1" customWidth="1"/>
    <col min="10499" max="10500" width="6.09765625" style="1236" bestFit="1" customWidth="1"/>
    <col min="10501" max="10501" width="4" style="1236" bestFit="1" customWidth="1"/>
    <col min="10502" max="10503" width="6" style="1236" customWidth="1"/>
    <col min="10504" max="10504" width="4" style="1236" bestFit="1" customWidth="1"/>
    <col min="10505" max="10506" width="6.09765625" style="1236" bestFit="1" customWidth="1"/>
    <col min="10507" max="10507" width="3.69921875" style="1236" customWidth="1"/>
    <col min="10508" max="10509" width="6" style="1236" customWidth="1"/>
    <col min="10510" max="10752" width="8.796875" style="1236"/>
    <col min="10753" max="10753" width="13" style="1236" customWidth="1"/>
    <col min="10754" max="10754" width="4" style="1236" bestFit="1" customWidth="1"/>
    <col min="10755" max="10756" width="6.09765625" style="1236" bestFit="1" customWidth="1"/>
    <col min="10757" max="10757" width="4" style="1236" bestFit="1" customWidth="1"/>
    <col min="10758" max="10759" width="6" style="1236" customWidth="1"/>
    <col min="10760" max="10760" width="4" style="1236" bestFit="1" customWidth="1"/>
    <col min="10761" max="10762" width="6.09765625" style="1236" bestFit="1" customWidth="1"/>
    <col min="10763" max="10763" width="3.69921875" style="1236" customWidth="1"/>
    <col min="10764" max="10765" width="6" style="1236" customWidth="1"/>
    <col min="10766" max="11008" width="8.796875" style="1236"/>
    <col min="11009" max="11009" width="13" style="1236" customWidth="1"/>
    <col min="11010" max="11010" width="4" style="1236" bestFit="1" customWidth="1"/>
    <col min="11011" max="11012" width="6.09765625" style="1236" bestFit="1" customWidth="1"/>
    <col min="11013" max="11013" width="4" style="1236" bestFit="1" customWidth="1"/>
    <col min="11014" max="11015" width="6" style="1236" customWidth="1"/>
    <col min="11016" max="11016" width="4" style="1236" bestFit="1" customWidth="1"/>
    <col min="11017" max="11018" width="6.09765625" style="1236" bestFit="1" customWidth="1"/>
    <col min="11019" max="11019" width="3.69921875" style="1236" customWidth="1"/>
    <col min="11020" max="11021" width="6" style="1236" customWidth="1"/>
    <col min="11022" max="11264" width="8.796875" style="1236"/>
    <col min="11265" max="11265" width="13" style="1236" customWidth="1"/>
    <col min="11266" max="11266" width="4" style="1236" bestFit="1" customWidth="1"/>
    <col min="11267" max="11268" width="6.09765625" style="1236" bestFit="1" customWidth="1"/>
    <col min="11269" max="11269" width="4" style="1236" bestFit="1" customWidth="1"/>
    <col min="11270" max="11271" width="6" style="1236" customWidth="1"/>
    <col min="11272" max="11272" width="4" style="1236" bestFit="1" customWidth="1"/>
    <col min="11273" max="11274" width="6.09765625" style="1236" bestFit="1" customWidth="1"/>
    <col min="11275" max="11275" width="3.69921875" style="1236" customWidth="1"/>
    <col min="11276" max="11277" width="6" style="1236" customWidth="1"/>
    <col min="11278" max="11520" width="8.796875" style="1236"/>
    <col min="11521" max="11521" width="13" style="1236" customWidth="1"/>
    <col min="11522" max="11522" width="4" style="1236" bestFit="1" customWidth="1"/>
    <col min="11523" max="11524" width="6.09765625" style="1236" bestFit="1" customWidth="1"/>
    <col min="11525" max="11525" width="4" style="1236" bestFit="1" customWidth="1"/>
    <col min="11526" max="11527" width="6" style="1236" customWidth="1"/>
    <col min="11528" max="11528" width="4" style="1236" bestFit="1" customWidth="1"/>
    <col min="11529" max="11530" width="6.09765625" style="1236" bestFit="1" customWidth="1"/>
    <col min="11531" max="11531" width="3.69921875" style="1236" customWidth="1"/>
    <col min="11532" max="11533" width="6" style="1236" customWidth="1"/>
    <col min="11534" max="11776" width="8.796875" style="1236"/>
    <col min="11777" max="11777" width="13" style="1236" customWidth="1"/>
    <col min="11778" max="11778" width="4" style="1236" bestFit="1" customWidth="1"/>
    <col min="11779" max="11780" width="6.09765625" style="1236" bestFit="1" customWidth="1"/>
    <col min="11781" max="11781" width="4" style="1236" bestFit="1" customWidth="1"/>
    <col min="11782" max="11783" width="6" style="1236" customWidth="1"/>
    <col min="11784" max="11784" width="4" style="1236" bestFit="1" customWidth="1"/>
    <col min="11785" max="11786" width="6.09765625" style="1236" bestFit="1" customWidth="1"/>
    <col min="11787" max="11787" width="3.69921875" style="1236" customWidth="1"/>
    <col min="11788" max="11789" width="6" style="1236" customWidth="1"/>
    <col min="11790" max="12032" width="8.796875" style="1236"/>
    <col min="12033" max="12033" width="13" style="1236" customWidth="1"/>
    <col min="12034" max="12034" width="4" style="1236" bestFit="1" customWidth="1"/>
    <col min="12035" max="12036" width="6.09765625" style="1236" bestFit="1" customWidth="1"/>
    <col min="12037" max="12037" width="4" style="1236" bestFit="1" customWidth="1"/>
    <col min="12038" max="12039" width="6" style="1236" customWidth="1"/>
    <col min="12040" max="12040" width="4" style="1236" bestFit="1" customWidth="1"/>
    <col min="12041" max="12042" width="6.09765625" style="1236" bestFit="1" customWidth="1"/>
    <col min="12043" max="12043" width="3.69921875" style="1236" customWidth="1"/>
    <col min="12044" max="12045" width="6" style="1236" customWidth="1"/>
    <col min="12046" max="12288" width="8.796875" style="1236"/>
    <col min="12289" max="12289" width="13" style="1236" customWidth="1"/>
    <col min="12290" max="12290" width="4" style="1236" bestFit="1" customWidth="1"/>
    <col min="12291" max="12292" width="6.09765625" style="1236" bestFit="1" customWidth="1"/>
    <col min="12293" max="12293" width="4" style="1236" bestFit="1" customWidth="1"/>
    <col min="12294" max="12295" width="6" style="1236" customWidth="1"/>
    <col min="12296" max="12296" width="4" style="1236" bestFit="1" customWidth="1"/>
    <col min="12297" max="12298" width="6.09765625" style="1236" bestFit="1" customWidth="1"/>
    <col min="12299" max="12299" width="3.69921875" style="1236" customWidth="1"/>
    <col min="12300" max="12301" width="6" style="1236" customWidth="1"/>
    <col min="12302" max="12544" width="8.796875" style="1236"/>
    <col min="12545" max="12545" width="13" style="1236" customWidth="1"/>
    <col min="12546" max="12546" width="4" style="1236" bestFit="1" customWidth="1"/>
    <col min="12547" max="12548" width="6.09765625" style="1236" bestFit="1" customWidth="1"/>
    <col min="12549" max="12549" width="4" style="1236" bestFit="1" customWidth="1"/>
    <col min="12550" max="12551" width="6" style="1236" customWidth="1"/>
    <col min="12552" max="12552" width="4" style="1236" bestFit="1" customWidth="1"/>
    <col min="12553" max="12554" width="6.09765625" style="1236" bestFit="1" customWidth="1"/>
    <col min="12555" max="12555" width="3.69921875" style="1236" customWidth="1"/>
    <col min="12556" max="12557" width="6" style="1236" customWidth="1"/>
    <col min="12558" max="12800" width="8.796875" style="1236"/>
    <col min="12801" max="12801" width="13" style="1236" customWidth="1"/>
    <col min="12802" max="12802" width="4" style="1236" bestFit="1" customWidth="1"/>
    <col min="12803" max="12804" width="6.09765625" style="1236" bestFit="1" customWidth="1"/>
    <col min="12805" max="12805" width="4" style="1236" bestFit="1" customWidth="1"/>
    <col min="12806" max="12807" width="6" style="1236" customWidth="1"/>
    <col min="12808" max="12808" width="4" style="1236" bestFit="1" customWidth="1"/>
    <col min="12809" max="12810" width="6.09765625" style="1236" bestFit="1" customWidth="1"/>
    <col min="12811" max="12811" width="3.69921875" style="1236" customWidth="1"/>
    <col min="12812" max="12813" width="6" style="1236" customWidth="1"/>
    <col min="12814" max="13056" width="8.796875" style="1236"/>
    <col min="13057" max="13057" width="13" style="1236" customWidth="1"/>
    <col min="13058" max="13058" width="4" style="1236" bestFit="1" customWidth="1"/>
    <col min="13059" max="13060" width="6.09765625" style="1236" bestFit="1" customWidth="1"/>
    <col min="13061" max="13061" width="4" style="1236" bestFit="1" customWidth="1"/>
    <col min="13062" max="13063" width="6" style="1236" customWidth="1"/>
    <col min="13064" max="13064" width="4" style="1236" bestFit="1" customWidth="1"/>
    <col min="13065" max="13066" width="6.09765625" style="1236" bestFit="1" customWidth="1"/>
    <col min="13067" max="13067" width="3.69921875" style="1236" customWidth="1"/>
    <col min="13068" max="13069" width="6" style="1236" customWidth="1"/>
    <col min="13070" max="13312" width="8.796875" style="1236"/>
    <col min="13313" max="13313" width="13" style="1236" customWidth="1"/>
    <col min="13314" max="13314" width="4" style="1236" bestFit="1" customWidth="1"/>
    <col min="13315" max="13316" width="6.09765625" style="1236" bestFit="1" customWidth="1"/>
    <col min="13317" max="13317" width="4" style="1236" bestFit="1" customWidth="1"/>
    <col min="13318" max="13319" width="6" style="1236" customWidth="1"/>
    <col min="13320" max="13320" width="4" style="1236" bestFit="1" customWidth="1"/>
    <col min="13321" max="13322" width="6.09765625" style="1236" bestFit="1" customWidth="1"/>
    <col min="13323" max="13323" width="3.69921875" style="1236" customWidth="1"/>
    <col min="13324" max="13325" width="6" style="1236" customWidth="1"/>
    <col min="13326" max="13568" width="8.796875" style="1236"/>
    <col min="13569" max="13569" width="13" style="1236" customWidth="1"/>
    <col min="13570" max="13570" width="4" style="1236" bestFit="1" customWidth="1"/>
    <col min="13571" max="13572" width="6.09765625" style="1236" bestFit="1" customWidth="1"/>
    <col min="13573" max="13573" width="4" style="1236" bestFit="1" customWidth="1"/>
    <col min="13574" max="13575" width="6" style="1236" customWidth="1"/>
    <col min="13576" max="13576" width="4" style="1236" bestFit="1" customWidth="1"/>
    <col min="13577" max="13578" width="6.09765625" style="1236" bestFit="1" customWidth="1"/>
    <col min="13579" max="13579" width="3.69921875" style="1236" customWidth="1"/>
    <col min="13580" max="13581" width="6" style="1236" customWidth="1"/>
    <col min="13582" max="13824" width="8.796875" style="1236"/>
    <col min="13825" max="13825" width="13" style="1236" customWidth="1"/>
    <col min="13826" max="13826" width="4" style="1236" bestFit="1" customWidth="1"/>
    <col min="13827" max="13828" width="6.09765625" style="1236" bestFit="1" customWidth="1"/>
    <col min="13829" max="13829" width="4" style="1236" bestFit="1" customWidth="1"/>
    <col min="13830" max="13831" width="6" style="1236" customWidth="1"/>
    <col min="13832" max="13832" width="4" style="1236" bestFit="1" customWidth="1"/>
    <col min="13833" max="13834" width="6.09765625" style="1236" bestFit="1" customWidth="1"/>
    <col min="13835" max="13835" width="3.69921875" style="1236" customWidth="1"/>
    <col min="13836" max="13837" width="6" style="1236" customWidth="1"/>
    <col min="13838" max="14080" width="8.796875" style="1236"/>
    <col min="14081" max="14081" width="13" style="1236" customWidth="1"/>
    <col min="14082" max="14082" width="4" style="1236" bestFit="1" customWidth="1"/>
    <col min="14083" max="14084" width="6.09765625" style="1236" bestFit="1" customWidth="1"/>
    <col min="14085" max="14085" width="4" style="1236" bestFit="1" customWidth="1"/>
    <col min="14086" max="14087" width="6" style="1236" customWidth="1"/>
    <col min="14088" max="14088" width="4" style="1236" bestFit="1" customWidth="1"/>
    <col min="14089" max="14090" width="6.09765625" style="1236" bestFit="1" customWidth="1"/>
    <col min="14091" max="14091" width="3.69921875" style="1236" customWidth="1"/>
    <col min="14092" max="14093" width="6" style="1236" customWidth="1"/>
    <col min="14094" max="14336" width="8.796875" style="1236"/>
    <col min="14337" max="14337" width="13" style="1236" customWidth="1"/>
    <col min="14338" max="14338" width="4" style="1236" bestFit="1" customWidth="1"/>
    <col min="14339" max="14340" width="6.09765625" style="1236" bestFit="1" customWidth="1"/>
    <col min="14341" max="14341" width="4" style="1236" bestFit="1" customWidth="1"/>
    <col min="14342" max="14343" width="6" style="1236" customWidth="1"/>
    <col min="14344" max="14344" width="4" style="1236" bestFit="1" customWidth="1"/>
    <col min="14345" max="14346" width="6.09765625" style="1236" bestFit="1" customWidth="1"/>
    <col min="14347" max="14347" width="3.69921875" style="1236" customWidth="1"/>
    <col min="14348" max="14349" width="6" style="1236" customWidth="1"/>
    <col min="14350" max="14592" width="8.796875" style="1236"/>
    <col min="14593" max="14593" width="13" style="1236" customWidth="1"/>
    <col min="14594" max="14594" width="4" style="1236" bestFit="1" customWidth="1"/>
    <col min="14595" max="14596" width="6.09765625" style="1236" bestFit="1" customWidth="1"/>
    <col min="14597" max="14597" width="4" style="1236" bestFit="1" customWidth="1"/>
    <col min="14598" max="14599" width="6" style="1236" customWidth="1"/>
    <col min="14600" max="14600" width="4" style="1236" bestFit="1" customWidth="1"/>
    <col min="14601" max="14602" width="6.09765625" style="1236" bestFit="1" customWidth="1"/>
    <col min="14603" max="14603" width="3.69921875" style="1236" customWidth="1"/>
    <col min="14604" max="14605" width="6" style="1236" customWidth="1"/>
    <col min="14606" max="14848" width="8.796875" style="1236"/>
    <col min="14849" max="14849" width="13" style="1236" customWidth="1"/>
    <col min="14850" max="14850" width="4" style="1236" bestFit="1" customWidth="1"/>
    <col min="14851" max="14852" width="6.09765625" style="1236" bestFit="1" customWidth="1"/>
    <col min="14853" max="14853" width="4" style="1236" bestFit="1" customWidth="1"/>
    <col min="14854" max="14855" width="6" style="1236" customWidth="1"/>
    <col min="14856" max="14856" width="4" style="1236" bestFit="1" customWidth="1"/>
    <col min="14857" max="14858" width="6.09765625" style="1236" bestFit="1" customWidth="1"/>
    <col min="14859" max="14859" width="3.69921875" style="1236" customWidth="1"/>
    <col min="14860" max="14861" width="6" style="1236" customWidth="1"/>
    <col min="14862" max="15104" width="8.796875" style="1236"/>
    <col min="15105" max="15105" width="13" style="1236" customWidth="1"/>
    <col min="15106" max="15106" width="4" style="1236" bestFit="1" customWidth="1"/>
    <col min="15107" max="15108" width="6.09765625" style="1236" bestFit="1" customWidth="1"/>
    <col min="15109" max="15109" width="4" style="1236" bestFit="1" customWidth="1"/>
    <col min="15110" max="15111" width="6" style="1236" customWidth="1"/>
    <col min="15112" max="15112" width="4" style="1236" bestFit="1" customWidth="1"/>
    <col min="15113" max="15114" width="6.09765625" style="1236" bestFit="1" customWidth="1"/>
    <col min="15115" max="15115" width="3.69921875" style="1236" customWidth="1"/>
    <col min="15116" max="15117" width="6" style="1236" customWidth="1"/>
    <col min="15118" max="15360" width="8.796875" style="1236"/>
    <col min="15361" max="15361" width="13" style="1236" customWidth="1"/>
    <col min="15362" max="15362" width="4" style="1236" bestFit="1" customWidth="1"/>
    <col min="15363" max="15364" width="6.09765625" style="1236" bestFit="1" customWidth="1"/>
    <col min="15365" max="15365" width="4" style="1236" bestFit="1" customWidth="1"/>
    <col min="15366" max="15367" width="6" style="1236" customWidth="1"/>
    <col min="15368" max="15368" width="4" style="1236" bestFit="1" customWidth="1"/>
    <col min="15369" max="15370" width="6.09765625" style="1236" bestFit="1" customWidth="1"/>
    <col min="15371" max="15371" width="3.69921875" style="1236" customWidth="1"/>
    <col min="15372" max="15373" width="6" style="1236" customWidth="1"/>
    <col min="15374" max="15616" width="8.796875" style="1236"/>
    <col min="15617" max="15617" width="13" style="1236" customWidth="1"/>
    <col min="15618" max="15618" width="4" style="1236" bestFit="1" customWidth="1"/>
    <col min="15619" max="15620" width="6.09765625" style="1236" bestFit="1" customWidth="1"/>
    <col min="15621" max="15621" width="4" style="1236" bestFit="1" customWidth="1"/>
    <col min="15622" max="15623" width="6" style="1236" customWidth="1"/>
    <col min="15624" max="15624" width="4" style="1236" bestFit="1" customWidth="1"/>
    <col min="15625" max="15626" width="6.09765625" style="1236" bestFit="1" customWidth="1"/>
    <col min="15627" max="15627" width="3.69921875" style="1236" customWidth="1"/>
    <col min="15628" max="15629" width="6" style="1236" customWidth="1"/>
    <col min="15630" max="15872" width="8.796875" style="1236"/>
    <col min="15873" max="15873" width="13" style="1236" customWidth="1"/>
    <col min="15874" max="15874" width="4" style="1236" bestFit="1" customWidth="1"/>
    <col min="15875" max="15876" width="6.09765625" style="1236" bestFit="1" customWidth="1"/>
    <col min="15877" max="15877" width="4" style="1236" bestFit="1" customWidth="1"/>
    <col min="15878" max="15879" width="6" style="1236" customWidth="1"/>
    <col min="15880" max="15880" width="4" style="1236" bestFit="1" customWidth="1"/>
    <col min="15881" max="15882" width="6.09765625" style="1236" bestFit="1" customWidth="1"/>
    <col min="15883" max="15883" width="3.69921875" style="1236" customWidth="1"/>
    <col min="15884" max="15885" width="6" style="1236" customWidth="1"/>
    <col min="15886" max="16128" width="8.796875" style="1236"/>
    <col min="16129" max="16129" width="13" style="1236" customWidth="1"/>
    <col min="16130" max="16130" width="4" style="1236" bestFit="1" customWidth="1"/>
    <col min="16131" max="16132" width="6.09765625" style="1236" bestFit="1" customWidth="1"/>
    <col min="16133" max="16133" width="4" style="1236" bestFit="1" customWidth="1"/>
    <col min="16134" max="16135" width="6" style="1236" customWidth="1"/>
    <col min="16136" max="16136" width="4" style="1236" bestFit="1" customWidth="1"/>
    <col min="16137" max="16138" width="6.09765625" style="1236" bestFit="1" customWidth="1"/>
    <col min="16139" max="16139" width="3.69921875" style="1236" customWidth="1"/>
    <col min="16140" max="16141" width="6" style="1236" customWidth="1"/>
    <col min="16142" max="16384" width="8.796875" style="1236"/>
  </cols>
  <sheetData>
    <row r="1" spans="1:13" ht="30" customHeight="1" thickBot="1">
      <c r="A1" s="1481" t="s">
        <v>3332</v>
      </c>
    </row>
    <row r="2" spans="1:13" ht="26.4" customHeight="1">
      <c r="A2" s="2393" t="s">
        <v>3333</v>
      </c>
      <c r="B2" s="2390" t="s">
        <v>1059</v>
      </c>
      <c r="C2" s="2395"/>
      <c r="D2" s="2395"/>
      <c r="E2" s="2390" t="s">
        <v>2578</v>
      </c>
      <c r="F2" s="2395"/>
      <c r="G2" s="2395"/>
      <c r="H2" s="2390" t="s">
        <v>2579</v>
      </c>
      <c r="I2" s="2395"/>
      <c r="J2" s="2395"/>
      <c r="K2" s="2390" t="s">
        <v>2580</v>
      </c>
      <c r="L2" s="2395"/>
      <c r="M2" s="2395"/>
    </row>
    <row r="3" spans="1:13" ht="26.4" customHeight="1">
      <c r="A3" s="2443"/>
      <c r="B3" s="1843" t="s">
        <v>3334</v>
      </c>
      <c r="C3" s="1843" t="s">
        <v>3335</v>
      </c>
      <c r="D3" s="1650" t="s">
        <v>3336</v>
      </c>
      <c r="E3" s="1843" t="s">
        <v>3334</v>
      </c>
      <c r="F3" s="1843" t="s">
        <v>3335</v>
      </c>
      <c r="G3" s="1650" t="s">
        <v>3336</v>
      </c>
      <c r="H3" s="1843" t="s">
        <v>3334</v>
      </c>
      <c r="I3" s="1843" t="s">
        <v>3335</v>
      </c>
      <c r="J3" s="1650" t="s">
        <v>3336</v>
      </c>
      <c r="K3" s="1843" t="s">
        <v>3334</v>
      </c>
      <c r="L3" s="1843" t="s">
        <v>3335</v>
      </c>
      <c r="M3" s="1650" t="s">
        <v>3336</v>
      </c>
    </row>
    <row r="4" spans="1:13" ht="26.4" customHeight="1">
      <c r="A4" s="1471"/>
      <c r="B4" s="1275" t="s">
        <v>230</v>
      </c>
      <c r="C4" s="1275" t="s">
        <v>2820</v>
      </c>
      <c r="D4" s="1274" t="s">
        <v>2820</v>
      </c>
      <c r="E4" s="1275" t="s">
        <v>230</v>
      </c>
      <c r="F4" s="1275" t="s">
        <v>2820</v>
      </c>
      <c r="G4" s="1274" t="s">
        <v>2820</v>
      </c>
      <c r="H4" s="1275" t="s">
        <v>230</v>
      </c>
      <c r="I4" s="1275" t="s">
        <v>2820</v>
      </c>
      <c r="J4" s="1274" t="s">
        <v>2820</v>
      </c>
      <c r="K4" s="1275" t="s">
        <v>230</v>
      </c>
      <c r="L4" s="1275" t="s">
        <v>2820</v>
      </c>
      <c r="M4" s="1274" t="s">
        <v>2820</v>
      </c>
    </row>
    <row r="5" spans="1:13" ht="26.4" customHeight="1">
      <c r="A5" s="1844" t="s">
        <v>3337</v>
      </c>
      <c r="B5" s="1002">
        <v>10</v>
      </c>
      <c r="C5" s="1496">
        <v>17250</v>
      </c>
      <c r="D5" s="1845">
        <v>17250</v>
      </c>
      <c r="E5" s="1002">
        <v>29</v>
      </c>
      <c r="F5" s="1496">
        <v>293400</v>
      </c>
      <c r="G5" s="1845">
        <v>293400</v>
      </c>
      <c r="H5" s="1002">
        <v>25</v>
      </c>
      <c r="I5" s="1496">
        <v>311700</v>
      </c>
      <c r="J5" s="1845">
        <v>311700</v>
      </c>
      <c r="K5" s="1002">
        <v>13</v>
      </c>
      <c r="L5" s="1496">
        <v>139300</v>
      </c>
      <c r="M5" s="1845">
        <v>139300</v>
      </c>
    </row>
    <row r="6" spans="1:13" ht="26.4" customHeight="1" thickBot="1">
      <c r="A6" s="1846" t="s">
        <v>3338</v>
      </c>
      <c r="B6" s="483">
        <v>287</v>
      </c>
      <c r="C6" s="1847">
        <v>349197</v>
      </c>
      <c r="D6" s="1848">
        <v>349197</v>
      </c>
      <c r="E6" s="483">
        <v>132</v>
      </c>
      <c r="F6" s="1847">
        <v>659770</v>
      </c>
      <c r="G6" s="1848">
        <v>669210</v>
      </c>
      <c r="H6" s="483">
        <v>94</v>
      </c>
      <c r="I6" s="1847">
        <v>587990</v>
      </c>
      <c r="J6" s="1848">
        <v>587990</v>
      </c>
      <c r="K6" s="483">
        <v>82</v>
      </c>
      <c r="L6" s="1847">
        <v>435510</v>
      </c>
      <c r="M6" s="1848">
        <v>435510</v>
      </c>
    </row>
    <row r="7" spans="1:13" ht="26.4" customHeight="1">
      <c r="A7" s="1236" t="s">
        <v>3339</v>
      </c>
    </row>
  </sheetData>
  <mergeCells count="5">
    <mergeCell ref="A2:A3"/>
    <mergeCell ref="B2:D2"/>
    <mergeCell ref="E2:G2"/>
    <mergeCell ref="H2:J2"/>
    <mergeCell ref="K2:M2"/>
  </mergeCells>
  <phoneticPr fontId="4"/>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C9A83-A2E3-4A1B-9360-73C6F0A965B9}">
  <sheetPr codeName="Sheet137"/>
  <dimension ref="A1:D10"/>
  <sheetViews>
    <sheetView workbookViewId="0"/>
  </sheetViews>
  <sheetFormatPr defaultRowHeight="10.8"/>
  <cols>
    <col min="1" max="1" width="15" style="1236" customWidth="1"/>
    <col min="2" max="2" width="15.5" style="1236" bestFit="1" customWidth="1"/>
    <col min="3" max="3" width="11.69921875" style="1236" bestFit="1" customWidth="1"/>
    <col min="4" max="4" width="11" style="1236" customWidth="1"/>
    <col min="5" max="256" width="8.796875" style="1236"/>
    <col min="257" max="257" width="15" style="1236" customWidth="1"/>
    <col min="258" max="258" width="15.5" style="1236" bestFit="1" customWidth="1"/>
    <col min="259" max="259" width="11.69921875" style="1236" bestFit="1" customWidth="1"/>
    <col min="260" max="260" width="9.3984375" style="1236" bestFit="1" customWidth="1"/>
    <col min="261" max="512" width="8.796875" style="1236"/>
    <col min="513" max="513" width="15" style="1236" customWidth="1"/>
    <col min="514" max="514" width="15.5" style="1236" bestFit="1" customWidth="1"/>
    <col min="515" max="515" width="11.69921875" style="1236" bestFit="1" customWidth="1"/>
    <col min="516" max="516" width="9.3984375" style="1236" bestFit="1" customWidth="1"/>
    <col min="517" max="768" width="8.796875" style="1236"/>
    <col min="769" max="769" width="15" style="1236" customWidth="1"/>
    <col min="770" max="770" width="15.5" style="1236" bestFit="1" customWidth="1"/>
    <col min="771" max="771" width="11.69921875" style="1236" bestFit="1" customWidth="1"/>
    <col min="772" max="772" width="9.3984375" style="1236" bestFit="1" customWidth="1"/>
    <col min="773" max="1024" width="8.796875" style="1236"/>
    <col min="1025" max="1025" width="15" style="1236" customWidth="1"/>
    <col min="1026" max="1026" width="15.5" style="1236" bestFit="1" customWidth="1"/>
    <col min="1027" max="1027" width="11.69921875" style="1236" bestFit="1" customWidth="1"/>
    <col min="1028" max="1028" width="9.3984375" style="1236" bestFit="1" customWidth="1"/>
    <col min="1029" max="1280" width="8.796875" style="1236"/>
    <col min="1281" max="1281" width="15" style="1236" customWidth="1"/>
    <col min="1282" max="1282" width="15.5" style="1236" bestFit="1" customWidth="1"/>
    <col min="1283" max="1283" width="11.69921875" style="1236" bestFit="1" customWidth="1"/>
    <col min="1284" max="1284" width="9.3984375" style="1236" bestFit="1" customWidth="1"/>
    <col min="1285" max="1536" width="8.796875" style="1236"/>
    <col min="1537" max="1537" width="15" style="1236" customWidth="1"/>
    <col min="1538" max="1538" width="15.5" style="1236" bestFit="1" customWidth="1"/>
    <col min="1539" max="1539" width="11.69921875" style="1236" bestFit="1" customWidth="1"/>
    <col min="1540" max="1540" width="9.3984375" style="1236" bestFit="1" customWidth="1"/>
    <col min="1541" max="1792" width="8.796875" style="1236"/>
    <col min="1793" max="1793" width="15" style="1236" customWidth="1"/>
    <col min="1794" max="1794" width="15.5" style="1236" bestFit="1" customWidth="1"/>
    <col min="1795" max="1795" width="11.69921875" style="1236" bestFit="1" customWidth="1"/>
    <col min="1796" max="1796" width="9.3984375" style="1236" bestFit="1" customWidth="1"/>
    <col min="1797" max="2048" width="8.796875" style="1236"/>
    <col min="2049" max="2049" width="15" style="1236" customWidth="1"/>
    <col min="2050" max="2050" width="15.5" style="1236" bestFit="1" customWidth="1"/>
    <col min="2051" max="2051" width="11.69921875" style="1236" bestFit="1" customWidth="1"/>
    <col min="2052" max="2052" width="9.3984375" style="1236" bestFit="1" customWidth="1"/>
    <col min="2053" max="2304" width="8.796875" style="1236"/>
    <col min="2305" max="2305" width="15" style="1236" customWidth="1"/>
    <col min="2306" max="2306" width="15.5" style="1236" bestFit="1" customWidth="1"/>
    <col min="2307" max="2307" width="11.69921875" style="1236" bestFit="1" customWidth="1"/>
    <col min="2308" max="2308" width="9.3984375" style="1236" bestFit="1" customWidth="1"/>
    <col min="2309" max="2560" width="8.796875" style="1236"/>
    <col min="2561" max="2561" width="15" style="1236" customWidth="1"/>
    <col min="2562" max="2562" width="15.5" style="1236" bestFit="1" customWidth="1"/>
    <col min="2563" max="2563" width="11.69921875" style="1236" bestFit="1" customWidth="1"/>
    <col min="2564" max="2564" width="9.3984375" style="1236" bestFit="1" customWidth="1"/>
    <col min="2565" max="2816" width="8.796875" style="1236"/>
    <col min="2817" max="2817" width="15" style="1236" customWidth="1"/>
    <col min="2818" max="2818" width="15.5" style="1236" bestFit="1" customWidth="1"/>
    <col min="2819" max="2819" width="11.69921875" style="1236" bestFit="1" customWidth="1"/>
    <col min="2820" max="2820" width="9.3984375" style="1236" bestFit="1" customWidth="1"/>
    <col min="2821" max="3072" width="8.796875" style="1236"/>
    <col min="3073" max="3073" width="15" style="1236" customWidth="1"/>
    <col min="3074" max="3074" width="15.5" style="1236" bestFit="1" customWidth="1"/>
    <col min="3075" max="3075" width="11.69921875" style="1236" bestFit="1" customWidth="1"/>
    <col min="3076" max="3076" width="9.3984375" style="1236" bestFit="1" customWidth="1"/>
    <col min="3077" max="3328" width="8.796875" style="1236"/>
    <col min="3329" max="3329" width="15" style="1236" customWidth="1"/>
    <col min="3330" max="3330" width="15.5" style="1236" bestFit="1" customWidth="1"/>
    <col min="3331" max="3331" width="11.69921875" style="1236" bestFit="1" customWidth="1"/>
    <col min="3332" max="3332" width="9.3984375" style="1236" bestFit="1" customWidth="1"/>
    <col min="3333" max="3584" width="8.796875" style="1236"/>
    <col min="3585" max="3585" width="15" style="1236" customWidth="1"/>
    <col min="3586" max="3586" width="15.5" style="1236" bestFit="1" customWidth="1"/>
    <col min="3587" max="3587" width="11.69921875" style="1236" bestFit="1" customWidth="1"/>
    <col min="3588" max="3588" width="9.3984375" style="1236" bestFit="1" customWidth="1"/>
    <col min="3589" max="3840" width="8.796875" style="1236"/>
    <col min="3841" max="3841" width="15" style="1236" customWidth="1"/>
    <col min="3842" max="3842" width="15.5" style="1236" bestFit="1" customWidth="1"/>
    <col min="3843" max="3843" width="11.69921875" style="1236" bestFit="1" customWidth="1"/>
    <col min="3844" max="3844" width="9.3984375" style="1236" bestFit="1" customWidth="1"/>
    <col min="3845" max="4096" width="8.796875" style="1236"/>
    <col min="4097" max="4097" width="15" style="1236" customWidth="1"/>
    <col min="4098" max="4098" width="15.5" style="1236" bestFit="1" customWidth="1"/>
    <col min="4099" max="4099" width="11.69921875" style="1236" bestFit="1" customWidth="1"/>
    <col min="4100" max="4100" width="9.3984375" style="1236" bestFit="1" customWidth="1"/>
    <col min="4101" max="4352" width="8.796875" style="1236"/>
    <col min="4353" max="4353" width="15" style="1236" customWidth="1"/>
    <col min="4354" max="4354" width="15.5" style="1236" bestFit="1" customWidth="1"/>
    <col min="4355" max="4355" width="11.69921875" style="1236" bestFit="1" customWidth="1"/>
    <col min="4356" max="4356" width="9.3984375" style="1236" bestFit="1" customWidth="1"/>
    <col min="4357" max="4608" width="8.796875" style="1236"/>
    <col min="4609" max="4609" width="15" style="1236" customWidth="1"/>
    <col min="4610" max="4610" width="15.5" style="1236" bestFit="1" customWidth="1"/>
    <col min="4611" max="4611" width="11.69921875" style="1236" bestFit="1" customWidth="1"/>
    <col min="4612" max="4612" width="9.3984375" style="1236" bestFit="1" customWidth="1"/>
    <col min="4613" max="4864" width="8.796875" style="1236"/>
    <col min="4865" max="4865" width="15" style="1236" customWidth="1"/>
    <col min="4866" max="4866" width="15.5" style="1236" bestFit="1" customWidth="1"/>
    <col min="4867" max="4867" width="11.69921875" style="1236" bestFit="1" customWidth="1"/>
    <col min="4868" max="4868" width="9.3984375" style="1236" bestFit="1" customWidth="1"/>
    <col min="4869" max="5120" width="8.796875" style="1236"/>
    <col min="5121" max="5121" width="15" style="1236" customWidth="1"/>
    <col min="5122" max="5122" width="15.5" style="1236" bestFit="1" customWidth="1"/>
    <col min="5123" max="5123" width="11.69921875" style="1236" bestFit="1" customWidth="1"/>
    <col min="5124" max="5124" width="9.3984375" style="1236" bestFit="1" customWidth="1"/>
    <col min="5125" max="5376" width="8.796875" style="1236"/>
    <col min="5377" max="5377" width="15" style="1236" customWidth="1"/>
    <col min="5378" max="5378" width="15.5" style="1236" bestFit="1" customWidth="1"/>
    <col min="5379" max="5379" width="11.69921875" style="1236" bestFit="1" customWidth="1"/>
    <col min="5380" max="5380" width="9.3984375" style="1236" bestFit="1" customWidth="1"/>
    <col min="5381" max="5632" width="8.796875" style="1236"/>
    <col min="5633" max="5633" width="15" style="1236" customWidth="1"/>
    <col min="5634" max="5634" width="15.5" style="1236" bestFit="1" customWidth="1"/>
    <col min="5635" max="5635" width="11.69921875" style="1236" bestFit="1" customWidth="1"/>
    <col min="5636" max="5636" width="9.3984375" style="1236" bestFit="1" customWidth="1"/>
    <col min="5637" max="5888" width="8.796875" style="1236"/>
    <col min="5889" max="5889" width="15" style="1236" customWidth="1"/>
    <col min="5890" max="5890" width="15.5" style="1236" bestFit="1" customWidth="1"/>
    <col min="5891" max="5891" width="11.69921875" style="1236" bestFit="1" customWidth="1"/>
    <col min="5892" max="5892" width="9.3984375" style="1236" bestFit="1" customWidth="1"/>
    <col min="5893" max="6144" width="8.796875" style="1236"/>
    <col min="6145" max="6145" width="15" style="1236" customWidth="1"/>
    <col min="6146" max="6146" width="15.5" style="1236" bestFit="1" customWidth="1"/>
    <col min="6147" max="6147" width="11.69921875" style="1236" bestFit="1" customWidth="1"/>
    <col min="6148" max="6148" width="9.3984375" style="1236" bestFit="1" customWidth="1"/>
    <col min="6149" max="6400" width="8.796875" style="1236"/>
    <col min="6401" max="6401" width="15" style="1236" customWidth="1"/>
    <col min="6402" max="6402" width="15.5" style="1236" bestFit="1" customWidth="1"/>
    <col min="6403" max="6403" width="11.69921875" style="1236" bestFit="1" customWidth="1"/>
    <col min="6404" max="6404" width="9.3984375" style="1236" bestFit="1" customWidth="1"/>
    <col min="6405" max="6656" width="8.796875" style="1236"/>
    <col min="6657" max="6657" width="15" style="1236" customWidth="1"/>
    <col min="6658" max="6658" width="15.5" style="1236" bestFit="1" customWidth="1"/>
    <col min="6659" max="6659" width="11.69921875" style="1236" bestFit="1" customWidth="1"/>
    <col min="6660" max="6660" width="9.3984375" style="1236" bestFit="1" customWidth="1"/>
    <col min="6661" max="6912" width="8.796875" style="1236"/>
    <col min="6913" max="6913" width="15" style="1236" customWidth="1"/>
    <col min="6914" max="6914" width="15.5" style="1236" bestFit="1" customWidth="1"/>
    <col min="6915" max="6915" width="11.69921875" style="1236" bestFit="1" customWidth="1"/>
    <col min="6916" max="6916" width="9.3984375" style="1236" bestFit="1" customWidth="1"/>
    <col min="6917" max="7168" width="8.796875" style="1236"/>
    <col min="7169" max="7169" width="15" style="1236" customWidth="1"/>
    <col min="7170" max="7170" width="15.5" style="1236" bestFit="1" customWidth="1"/>
    <col min="7171" max="7171" width="11.69921875" style="1236" bestFit="1" customWidth="1"/>
    <col min="7172" max="7172" width="9.3984375" style="1236" bestFit="1" customWidth="1"/>
    <col min="7173" max="7424" width="8.796875" style="1236"/>
    <col min="7425" max="7425" width="15" style="1236" customWidth="1"/>
    <col min="7426" max="7426" width="15.5" style="1236" bestFit="1" customWidth="1"/>
    <col min="7427" max="7427" width="11.69921875" style="1236" bestFit="1" customWidth="1"/>
    <col min="7428" max="7428" width="9.3984375" style="1236" bestFit="1" customWidth="1"/>
    <col min="7429" max="7680" width="8.796875" style="1236"/>
    <col min="7681" max="7681" width="15" style="1236" customWidth="1"/>
    <col min="7682" max="7682" width="15.5" style="1236" bestFit="1" customWidth="1"/>
    <col min="7683" max="7683" width="11.69921875" style="1236" bestFit="1" customWidth="1"/>
    <col min="7684" max="7684" width="9.3984375" style="1236" bestFit="1" customWidth="1"/>
    <col min="7685" max="7936" width="8.796875" style="1236"/>
    <col min="7937" max="7937" width="15" style="1236" customWidth="1"/>
    <col min="7938" max="7938" width="15.5" style="1236" bestFit="1" customWidth="1"/>
    <col min="7939" max="7939" width="11.69921875" style="1236" bestFit="1" customWidth="1"/>
    <col min="7940" max="7940" width="9.3984375" style="1236" bestFit="1" customWidth="1"/>
    <col min="7941" max="8192" width="8.796875" style="1236"/>
    <col min="8193" max="8193" width="15" style="1236" customWidth="1"/>
    <col min="8194" max="8194" width="15.5" style="1236" bestFit="1" customWidth="1"/>
    <col min="8195" max="8195" width="11.69921875" style="1236" bestFit="1" customWidth="1"/>
    <col min="8196" max="8196" width="9.3984375" style="1236" bestFit="1" customWidth="1"/>
    <col min="8197" max="8448" width="8.796875" style="1236"/>
    <col min="8449" max="8449" width="15" style="1236" customWidth="1"/>
    <col min="8450" max="8450" width="15.5" style="1236" bestFit="1" customWidth="1"/>
    <col min="8451" max="8451" width="11.69921875" style="1236" bestFit="1" customWidth="1"/>
    <col min="8452" max="8452" width="9.3984375" style="1236" bestFit="1" customWidth="1"/>
    <col min="8453" max="8704" width="8.796875" style="1236"/>
    <col min="8705" max="8705" width="15" style="1236" customWidth="1"/>
    <col min="8706" max="8706" width="15.5" style="1236" bestFit="1" customWidth="1"/>
    <col min="8707" max="8707" width="11.69921875" style="1236" bestFit="1" customWidth="1"/>
    <col min="8708" max="8708" width="9.3984375" style="1236" bestFit="1" customWidth="1"/>
    <col min="8709" max="8960" width="8.796875" style="1236"/>
    <col min="8961" max="8961" width="15" style="1236" customWidth="1"/>
    <col min="8962" max="8962" width="15.5" style="1236" bestFit="1" customWidth="1"/>
    <col min="8963" max="8963" width="11.69921875" style="1236" bestFit="1" customWidth="1"/>
    <col min="8964" max="8964" width="9.3984375" style="1236" bestFit="1" customWidth="1"/>
    <col min="8965" max="9216" width="8.796875" style="1236"/>
    <col min="9217" max="9217" width="15" style="1236" customWidth="1"/>
    <col min="9218" max="9218" width="15.5" style="1236" bestFit="1" customWidth="1"/>
    <col min="9219" max="9219" width="11.69921875" style="1236" bestFit="1" customWidth="1"/>
    <col min="9220" max="9220" width="9.3984375" style="1236" bestFit="1" customWidth="1"/>
    <col min="9221" max="9472" width="8.796875" style="1236"/>
    <col min="9473" max="9473" width="15" style="1236" customWidth="1"/>
    <col min="9474" max="9474" width="15.5" style="1236" bestFit="1" customWidth="1"/>
    <col min="9475" max="9475" width="11.69921875" style="1236" bestFit="1" customWidth="1"/>
    <col min="9476" max="9476" width="9.3984375" style="1236" bestFit="1" customWidth="1"/>
    <col min="9477" max="9728" width="8.796875" style="1236"/>
    <col min="9729" max="9729" width="15" style="1236" customWidth="1"/>
    <col min="9730" max="9730" width="15.5" style="1236" bestFit="1" customWidth="1"/>
    <col min="9731" max="9731" width="11.69921875" style="1236" bestFit="1" customWidth="1"/>
    <col min="9732" max="9732" width="9.3984375" style="1236" bestFit="1" customWidth="1"/>
    <col min="9733" max="9984" width="8.796875" style="1236"/>
    <col min="9985" max="9985" width="15" style="1236" customWidth="1"/>
    <col min="9986" max="9986" width="15.5" style="1236" bestFit="1" customWidth="1"/>
    <col min="9987" max="9987" width="11.69921875" style="1236" bestFit="1" customWidth="1"/>
    <col min="9988" max="9988" width="9.3984375" style="1236" bestFit="1" customWidth="1"/>
    <col min="9989" max="10240" width="8.796875" style="1236"/>
    <col min="10241" max="10241" width="15" style="1236" customWidth="1"/>
    <col min="10242" max="10242" width="15.5" style="1236" bestFit="1" customWidth="1"/>
    <col min="10243" max="10243" width="11.69921875" style="1236" bestFit="1" customWidth="1"/>
    <col min="10244" max="10244" width="9.3984375" style="1236" bestFit="1" customWidth="1"/>
    <col min="10245" max="10496" width="8.796875" style="1236"/>
    <col min="10497" max="10497" width="15" style="1236" customWidth="1"/>
    <col min="10498" max="10498" width="15.5" style="1236" bestFit="1" customWidth="1"/>
    <col min="10499" max="10499" width="11.69921875" style="1236" bestFit="1" customWidth="1"/>
    <col min="10500" max="10500" width="9.3984375" style="1236" bestFit="1" customWidth="1"/>
    <col min="10501" max="10752" width="8.796875" style="1236"/>
    <col min="10753" max="10753" width="15" style="1236" customWidth="1"/>
    <col min="10754" max="10754" width="15.5" style="1236" bestFit="1" customWidth="1"/>
    <col min="10755" max="10755" width="11.69921875" style="1236" bestFit="1" customWidth="1"/>
    <col min="10756" max="10756" width="9.3984375" style="1236" bestFit="1" customWidth="1"/>
    <col min="10757" max="11008" width="8.796875" style="1236"/>
    <col min="11009" max="11009" width="15" style="1236" customWidth="1"/>
    <col min="11010" max="11010" width="15.5" style="1236" bestFit="1" customWidth="1"/>
    <col min="11011" max="11011" width="11.69921875" style="1236" bestFit="1" customWidth="1"/>
    <col min="11012" max="11012" width="9.3984375" style="1236" bestFit="1" customWidth="1"/>
    <col min="11013" max="11264" width="8.796875" style="1236"/>
    <col min="11265" max="11265" width="15" style="1236" customWidth="1"/>
    <col min="11266" max="11266" width="15.5" style="1236" bestFit="1" customWidth="1"/>
    <col min="11267" max="11267" width="11.69921875" style="1236" bestFit="1" customWidth="1"/>
    <col min="11268" max="11268" width="9.3984375" style="1236" bestFit="1" customWidth="1"/>
    <col min="11269" max="11520" width="8.796875" style="1236"/>
    <col min="11521" max="11521" width="15" style="1236" customWidth="1"/>
    <col min="11522" max="11522" width="15.5" style="1236" bestFit="1" customWidth="1"/>
    <col min="11523" max="11523" width="11.69921875" style="1236" bestFit="1" customWidth="1"/>
    <col min="11524" max="11524" width="9.3984375" style="1236" bestFit="1" customWidth="1"/>
    <col min="11525" max="11776" width="8.796875" style="1236"/>
    <col min="11777" max="11777" width="15" style="1236" customWidth="1"/>
    <col min="11778" max="11778" width="15.5" style="1236" bestFit="1" customWidth="1"/>
    <col min="11779" max="11779" width="11.69921875" style="1236" bestFit="1" customWidth="1"/>
    <col min="11780" max="11780" width="9.3984375" style="1236" bestFit="1" customWidth="1"/>
    <col min="11781" max="12032" width="8.796875" style="1236"/>
    <col min="12033" max="12033" width="15" style="1236" customWidth="1"/>
    <col min="12034" max="12034" width="15.5" style="1236" bestFit="1" customWidth="1"/>
    <col min="12035" max="12035" width="11.69921875" style="1236" bestFit="1" customWidth="1"/>
    <col min="12036" max="12036" width="9.3984375" style="1236" bestFit="1" customWidth="1"/>
    <col min="12037" max="12288" width="8.796875" style="1236"/>
    <col min="12289" max="12289" width="15" style="1236" customWidth="1"/>
    <col min="12290" max="12290" width="15.5" style="1236" bestFit="1" customWidth="1"/>
    <col min="12291" max="12291" width="11.69921875" style="1236" bestFit="1" customWidth="1"/>
    <col min="12292" max="12292" width="9.3984375" style="1236" bestFit="1" customWidth="1"/>
    <col min="12293" max="12544" width="8.796875" style="1236"/>
    <col min="12545" max="12545" width="15" style="1236" customWidth="1"/>
    <col min="12546" max="12546" width="15.5" style="1236" bestFit="1" customWidth="1"/>
    <col min="12547" max="12547" width="11.69921875" style="1236" bestFit="1" customWidth="1"/>
    <col min="12548" max="12548" width="9.3984375" style="1236" bestFit="1" customWidth="1"/>
    <col min="12549" max="12800" width="8.796875" style="1236"/>
    <col min="12801" max="12801" width="15" style="1236" customWidth="1"/>
    <col min="12802" max="12802" width="15.5" style="1236" bestFit="1" customWidth="1"/>
    <col min="12803" max="12803" width="11.69921875" style="1236" bestFit="1" customWidth="1"/>
    <col min="12804" max="12804" width="9.3984375" style="1236" bestFit="1" customWidth="1"/>
    <col min="12805" max="13056" width="8.796875" style="1236"/>
    <col min="13057" max="13057" width="15" style="1236" customWidth="1"/>
    <col min="13058" max="13058" width="15.5" style="1236" bestFit="1" customWidth="1"/>
    <col min="13059" max="13059" width="11.69921875" style="1236" bestFit="1" customWidth="1"/>
    <col min="13060" max="13060" width="9.3984375" style="1236" bestFit="1" customWidth="1"/>
    <col min="13061" max="13312" width="8.796875" style="1236"/>
    <col min="13313" max="13313" width="15" style="1236" customWidth="1"/>
    <col min="13314" max="13314" width="15.5" style="1236" bestFit="1" customWidth="1"/>
    <col min="13315" max="13315" width="11.69921875" style="1236" bestFit="1" customWidth="1"/>
    <col min="13316" max="13316" width="9.3984375" style="1236" bestFit="1" customWidth="1"/>
    <col min="13317" max="13568" width="8.796875" style="1236"/>
    <col min="13569" max="13569" width="15" style="1236" customWidth="1"/>
    <col min="13570" max="13570" width="15.5" style="1236" bestFit="1" customWidth="1"/>
    <col min="13571" max="13571" width="11.69921875" style="1236" bestFit="1" customWidth="1"/>
    <col min="13572" max="13572" width="9.3984375" style="1236" bestFit="1" customWidth="1"/>
    <col min="13573" max="13824" width="8.796875" style="1236"/>
    <col min="13825" max="13825" width="15" style="1236" customWidth="1"/>
    <col min="13826" max="13826" width="15.5" style="1236" bestFit="1" customWidth="1"/>
    <col min="13827" max="13827" width="11.69921875" style="1236" bestFit="1" customWidth="1"/>
    <col min="13828" max="13828" width="9.3984375" style="1236" bestFit="1" customWidth="1"/>
    <col min="13829" max="14080" width="8.796875" style="1236"/>
    <col min="14081" max="14081" width="15" style="1236" customWidth="1"/>
    <col min="14082" max="14082" width="15.5" style="1236" bestFit="1" customWidth="1"/>
    <col min="14083" max="14083" width="11.69921875" style="1236" bestFit="1" customWidth="1"/>
    <col min="14084" max="14084" width="9.3984375" style="1236" bestFit="1" customWidth="1"/>
    <col min="14085" max="14336" width="8.796875" style="1236"/>
    <col min="14337" max="14337" width="15" style="1236" customWidth="1"/>
    <col min="14338" max="14338" width="15.5" style="1236" bestFit="1" customWidth="1"/>
    <col min="14339" max="14339" width="11.69921875" style="1236" bestFit="1" customWidth="1"/>
    <col min="14340" max="14340" width="9.3984375" style="1236" bestFit="1" customWidth="1"/>
    <col min="14341" max="14592" width="8.796875" style="1236"/>
    <col min="14593" max="14593" width="15" style="1236" customWidth="1"/>
    <col min="14594" max="14594" width="15.5" style="1236" bestFit="1" customWidth="1"/>
    <col min="14595" max="14595" width="11.69921875" style="1236" bestFit="1" customWidth="1"/>
    <col min="14596" max="14596" width="9.3984375" style="1236" bestFit="1" customWidth="1"/>
    <col min="14597" max="14848" width="8.796875" style="1236"/>
    <col min="14849" max="14849" width="15" style="1236" customWidth="1"/>
    <col min="14850" max="14850" width="15.5" style="1236" bestFit="1" customWidth="1"/>
    <col min="14851" max="14851" width="11.69921875" style="1236" bestFit="1" customWidth="1"/>
    <col min="14852" max="14852" width="9.3984375" style="1236" bestFit="1" customWidth="1"/>
    <col min="14853" max="15104" width="8.796875" style="1236"/>
    <col min="15105" max="15105" width="15" style="1236" customWidth="1"/>
    <col min="15106" max="15106" width="15.5" style="1236" bestFit="1" customWidth="1"/>
    <col min="15107" max="15107" width="11.69921875" style="1236" bestFit="1" customWidth="1"/>
    <col min="15108" max="15108" width="9.3984375" style="1236" bestFit="1" customWidth="1"/>
    <col min="15109" max="15360" width="8.796875" style="1236"/>
    <col min="15361" max="15361" width="15" style="1236" customWidth="1"/>
    <col min="15362" max="15362" width="15.5" style="1236" bestFit="1" customWidth="1"/>
    <col min="15363" max="15363" width="11.69921875" style="1236" bestFit="1" customWidth="1"/>
    <col min="15364" max="15364" width="9.3984375" style="1236" bestFit="1" customWidth="1"/>
    <col min="15365" max="15616" width="8.796875" style="1236"/>
    <col min="15617" max="15617" width="15" style="1236" customWidth="1"/>
    <col min="15618" max="15618" width="15.5" style="1236" bestFit="1" customWidth="1"/>
    <col min="15619" max="15619" width="11.69921875" style="1236" bestFit="1" customWidth="1"/>
    <col min="15620" max="15620" width="9.3984375" style="1236" bestFit="1" customWidth="1"/>
    <col min="15621" max="15872" width="8.796875" style="1236"/>
    <col min="15873" max="15873" width="15" style="1236" customWidth="1"/>
    <col min="15874" max="15874" width="15.5" style="1236" bestFit="1" customWidth="1"/>
    <col min="15875" max="15875" width="11.69921875" style="1236" bestFit="1" customWidth="1"/>
    <col min="15876" max="15876" width="9.3984375" style="1236" bestFit="1" customWidth="1"/>
    <col min="15877" max="16128" width="8.796875" style="1236"/>
    <col min="16129" max="16129" width="15" style="1236" customWidth="1"/>
    <col min="16130" max="16130" width="15.5" style="1236" bestFit="1" customWidth="1"/>
    <col min="16131" max="16131" width="11.69921875" style="1236" bestFit="1" customWidth="1"/>
    <col min="16132" max="16132" width="9.3984375" style="1236" bestFit="1" customWidth="1"/>
    <col min="16133" max="16384" width="8.796875" style="1236"/>
  </cols>
  <sheetData>
    <row r="1" spans="1:4" ht="30" customHeight="1" thickBot="1">
      <c r="A1" s="1481" t="s">
        <v>3684</v>
      </c>
    </row>
    <row r="2" spans="1:4" ht="21.6">
      <c r="A2" s="1992"/>
      <c r="B2" s="2117" t="s">
        <v>3685</v>
      </c>
      <c r="C2" s="2118" t="s">
        <v>3686</v>
      </c>
      <c r="D2" s="2119" t="s">
        <v>3687</v>
      </c>
    </row>
    <row r="3" spans="1:4" ht="15.6" customHeight="1">
      <c r="A3" s="1859"/>
      <c r="B3" s="2120" t="s">
        <v>3688</v>
      </c>
      <c r="C3" s="2121" t="s">
        <v>229</v>
      </c>
      <c r="D3" s="2121" t="s">
        <v>3688</v>
      </c>
    </row>
    <row r="4" spans="1:4" ht="23.4" customHeight="1">
      <c r="A4" s="2006" t="s">
        <v>3689</v>
      </c>
      <c r="B4" s="2122">
        <v>81334</v>
      </c>
      <c r="C4" s="2041">
        <v>26435</v>
      </c>
      <c r="D4" s="2123">
        <f>B4/C4</f>
        <v>3.0767543030073767</v>
      </c>
    </row>
    <row r="5" spans="1:4" ht="23.4" customHeight="1">
      <c r="A5" s="2006" t="s">
        <v>1059</v>
      </c>
      <c r="B5" s="2122">
        <v>74990</v>
      </c>
      <c r="C5" s="1214">
        <v>26029</v>
      </c>
      <c r="D5" s="2123">
        <f>B5/C5</f>
        <v>2.8810173268277692</v>
      </c>
    </row>
    <row r="6" spans="1:4" ht="23.4" customHeight="1" thickBot="1">
      <c r="A6" s="1725" t="s">
        <v>2578</v>
      </c>
      <c r="B6" s="2124">
        <v>75746</v>
      </c>
      <c r="C6" s="2125">
        <v>25625</v>
      </c>
      <c r="D6" s="2126">
        <f t="shared" ref="D6" si="0">B6/C6</f>
        <v>2.9559414634146339</v>
      </c>
    </row>
    <row r="7" spans="1:4" ht="16.8" customHeight="1">
      <c r="A7" s="1236" t="s">
        <v>20</v>
      </c>
    </row>
    <row r="8" spans="1:4" ht="16.8" customHeight="1">
      <c r="A8" s="1236" t="s">
        <v>3690</v>
      </c>
    </row>
    <row r="9" spans="1:4" ht="16.8" customHeight="1">
      <c r="A9" s="1236" t="s">
        <v>3691</v>
      </c>
    </row>
    <row r="10" spans="1:4" ht="16.8" customHeight="1">
      <c r="A10" s="1236" t="s">
        <v>3692</v>
      </c>
    </row>
  </sheetData>
  <phoneticPr fontId="4"/>
  <pageMargins left="0.7" right="0.7" top="0.75" bottom="0.75" header="0.3" footer="0.3"/>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0BE93-9A87-423A-AFF2-CE1152281778}">
  <sheetPr codeName="Sheet74">
    <pageSetUpPr fitToPage="1"/>
  </sheetPr>
  <dimension ref="A1:K26"/>
  <sheetViews>
    <sheetView showGridLines="0" workbookViewId="0"/>
  </sheetViews>
  <sheetFormatPr defaultRowHeight="13.2"/>
  <cols>
    <col min="1" max="1" width="2.19921875" style="2" customWidth="1"/>
    <col min="2" max="2" width="26.59765625" style="2" customWidth="1"/>
    <col min="3" max="11" width="12.09765625" style="2" customWidth="1"/>
    <col min="12" max="15" width="12.19921875" style="2" bestFit="1" customWidth="1"/>
    <col min="16" max="263" width="9" style="2"/>
    <col min="264" max="264" width="2.19921875" style="2" customWidth="1"/>
    <col min="265" max="265" width="26.59765625" style="2" customWidth="1"/>
    <col min="266" max="267" width="14.59765625" style="2" customWidth="1"/>
    <col min="268" max="271" width="12.19921875" style="2" bestFit="1" customWidth="1"/>
    <col min="272" max="519" width="9" style="2"/>
    <col min="520" max="520" width="2.19921875" style="2" customWidth="1"/>
    <col min="521" max="521" width="26.59765625" style="2" customWidth="1"/>
    <col min="522" max="523" width="14.59765625" style="2" customWidth="1"/>
    <col min="524" max="527" width="12.19921875" style="2" bestFit="1" customWidth="1"/>
    <col min="528" max="775" width="9" style="2"/>
    <col min="776" max="776" width="2.19921875" style="2" customWidth="1"/>
    <col min="777" max="777" width="26.59765625" style="2" customWidth="1"/>
    <col min="778" max="779" width="14.59765625" style="2" customWidth="1"/>
    <col min="780" max="783" width="12.19921875" style="2" bestFit="1" customWidth="1"/>
    <col min="784" max="1031" width="9" style="2"/>
    <col min="1032" max="1032" width="2.19921875" style="2" customWidth="1"/>
    <col min="1033" max="1033" width="26.59765625" style="2" customWidth="1"/>
    <col min="1034" max="1035" width="14.59765625" style="2" customWidth="1"/>
    <col min="1036" max="1039" width="12.19921875" style="2" bestFit="1" customWidth="1"/>
    <col min="1040" max="1287" width="9" style="2"/>
    <col min="1288" max="1288" width="2.19921875" style="2" customWidth="1"/>
    <col min="1289" max="1289" width="26.59765625" style="2" customWidth="1"/>
    <col min="1290" max="1291" width="14.59765625" style="2" customWidth="1"/>
    <col min="1292" max="1295" width="12.19921875" style="2" bestFit="1" customWidth="1"/>
    <col min="1296" max="1543" width="9" style="2"/>
    <col min="1544" max="1544" width="2.19921875" style="2" customWidth="1"/>
    <col min="1545" max="1545" width="26.59765625" style="2" customWidth="1"/>
    <col min="1546" max="1547" width="14.59765625" style="2" customWidth="1"/>
    <col min="1548" max="1551" width="12.19921875" style="2" bestFit="1" customWidth="1"/>
    <col min="1552" max="1799" width="9" style="2"/>
    <col min="1800" max="1800" width="2.19921875" style="2" customWidth="1"/>
    <col min="1801" max="1801" width="26.59765625" style="2" customWidth="1"/>
    <col min="1802" max="1803" width="14.59765625" style="2" customWidth="1"/>
    <col min="1804" max="1807" width="12.19921875" style="2" bestFit="1" customWidth="1"/>
    <col min="1808" max="2055" width="9" style="2"/>
    <col min="2056" max="2056" width="2.19921875" style="2" customWidth="1"/>
    <col min="2057" max="2057" width="26.59765625" style="2" customWidth="1"/>
    <col min="2058" max="2059" width="14.59765625" style="2" customWidth="1"/>
    <col min="2060" max="2063" width="12.19921875" style="2" bestFit="1" customWidth="1"/>
    <col min="2064" max="2311" width="9" style="2"/>
    <col min="2312" max="2312" width="2.19921875" style="2" customWidth="1"/>
    <col min="2313" max="2313" width="26.59765625" style="2" customWidth="1"/>
    <col min="2314" max="2315" width="14.59765625" style="2" customWidth="1"/>
    <col min="2316" max="2319" width="12.19921875" style="2" bestFit="1" customWidth="1"/>
    <col min="2320" max="2567" width="9" style="2"/>
    <col min="2568" max="2568" width="2.19921875" style="2" customWidth="1"/>
    <col min="2569" max="2569" width="26.59765625" style="2" customWidth="1"/>
    <col min="2570" max="2571" width="14.59765625" style="2" customWidth="1"/>
    <col min="2572" max="2575" width="12.19921875" style="2" bestFit="1" customWidth="1"/>
    <col min="2576" max="2823" width="9" style="2"/>
    <col min="2824" max="2824" width="2.19921875" style="2" customWidth="1"/>
    <col min="2825" max="2825" width="26.59765625" style="2" customWidth="1"/>
    <col min="2826" max="2827" width="14.59765625" style="2" customWidth="1"/>
    <col min="2828" max="2831" width="12.19921875" style="2" bestFit="1" customWidth="1"/>
    <col min="2832" max="3079" width="9" style="2"/>
    <col min="3080" max="3080" width="2.19921875" style="2" customWidth="1"/>
    <col min="3081" max="3081" width="26.59765625" style="2" customWidth="1"/>
    <col min="3082" max="3083" width="14.59765625" style="2" customWidth="1"/>
    <col min="3084" max="3087" width="12.19921875" style="2" bestFit="1" customWidth="1"/>
    <col min="3088" max="3335" width="9" style="2"/>
    <col min="3336" max="3336" width="2.19921875" style="2" customWidth="1"/>
    <col min="3337" max="3337" width="26.59765625" style="2" customWidth="1"/>
    <col min="3338" max="3339" width="14.59765625" style="2" customWidth="1"/>
    <col min="3340" max="3343" width="12.19921875" style="2" bestFit="1" customWidth="1"/>
    <col min="3344" max="3591" width="9" style="2"/>
    <col min="3592" max="3592" width="2.19921875" style="2" customWidth="1"/>
    <col min="3593" max="3593" width="26.59765625" style="2" customWidth="1"/>
    <col min="3594" max="3595" width="14.59765625" style="2" customWidth="1"/>
    <col min="3596" max="3599" width="12.19921875" style="2" bestFit="1" customWidth="1"/>
    <col min="3600" max="3847" width="9" style="2"/>
    <col min="3848" max="3848" width="2.19921875" style="2" customWidth="1"/>
    <col min="3849" max="3849" width="26.59765625" style="2" customWidth="1"/>
    <col min="3850" max="3851" width="14.59765625" style="2" customWidth="1"/>
    <col min="3852" max="3855" width="12.19921875" style="2" bestFit="1" customWidth="1"/>
    <col min="3856" max="4103" width="9" style="2"/>
    <col min="4104" max="4104" width="2.19921875" style="2" customWidth="1"/>
    <col min="4105" max="4105" width="26.59765625" style="2" customWidth="1"/>
    <col min="4106" max="4107" width="14.59765625" style="2" customWidth="1"/>
    <col min="4108" max="4111" width="12.19921875" style="2" bestFit="1" customWidth="1"/>
    <col min="4112" max="4359" width="9" style="2"/>
    <col min="4360" max="4360" width="2.19921875" style="2" customWidth="1"/>
    <col min="4361" max="4361" width="26.59765625" style="2" customWidth="1"/>
    <col min="4362" max="4363" width="14.59765625" style="2" customWidth="1"/>
    <col min="4364" max="4367" width="12.19921875" style="2" bestFit="1" customWidth="1"/>
    <col min="4368" max="4615" width="9" style="2"/>
    <col min="4616" max="4616" width="2.19921875" style="2" customWidth="1"/>
    <col min="4617" max="4617" width="26.59765625" style="2" customWidth="1"/>
    <col min="4618" max="4619" width="14.59765625" style="2" customWidth="1"/>
    <col min="4620" max="4623" width="12.19921875" style="2" bestFit="1" customWidth="1"/>
    <col min="4624" max="4871" width="9" style="2"/>
    <col min="4872" max="4872" width="2.19921875" style="2" customWidth="1"/>
    <col min="4873" max="4873" width="26.59765625" style="2" customWidth="1"/>
    <col min="4874" max="4875" width="14.59765625" style="2" customWidth="1"/>
    <col min="4876" max="4879" width="12.19921875" style="2" bestFit="1" customWidth="1"/>
    <col min="4880" max="5127" width="9" style="2"/>
    <col min="5128" max="5128" width="2.19921875" style="2" customWidth="1"/>
    <col min="5129" max="5129" width="26.59765625" style="2" customWidth="1"/>
    <col min="5130" max="5131" width="14.59765625" style="2" customWidth="1"/>
    <col min="5132" max="5135" width="12.19921875" style="2" bestFit="1" customWidth="1"/>
    <col min="5136" max="5383" width="9" style="2"/>
    <col min="5384" max="5384" width="2.19921875" style="2" customWidth="1"/>
    <col min="5385" max="5385" width="26.59765625" style="2" customWidth="1"/>
    <col min="5386" max="5387" width="14.59765625" style="2" customWidth="1"/>
    <col min="5388" max="5391" width="12.19921875" style="2" bestFit="1" customWidth="1"/>
    <col min="5392" max="5639" width="9" style="2"/>
    <col min="5640" max="5640" width="2.19921875" style="2" customWidth="1"/>
    <col min="5641" max="5641" width="26.59765625" style="2" customWidth="1"/>
    <col min="5642" max="5643" width="14.59765625" style="2" customWidth="1"/>
    <col min="5644" max="5647" width="12.19921875" style="2" bestFit="1" customWidth="1"/>
    <col min="5648" max="5895" width="9" style="2"/>
    <col min="5896" max="5896" width="2.19921875" style="2" customWidth="1"/>
    <col min="5897" max="5897" width="26.59765625" style="2" customWidth="1"/>
    <col min="5898" max="5899" width="14.59765625" style="2" customWidth="1"/>
    <col min="5900" max="5903" width="12.19921875" style="2" bestFit="1" customWidth="1"/>
    <col min="5904" max="6151" width="9" style="2"/>
    <col min="6152" max="6152" width="2.19921875" style="2" customWidth="1"/>
    <col min="6153" max="6153" width="26.59765625" style="2" customWidth="1"/>
    <col min="6154" max="6155" width="14.59765625" style="2" customWidth="1"/>
    <col min="6156" max="6159" width="12.19921875" style="2" bestFit="1" customWidth="1"/>
    <col min="6160" max="6407" width="9" style="2"/>
    <col min="6408" max="6408" width="2.19921875" style="2" customWidth="1"/>
    <col min="6409" max="6409" width="26.59765625" style="2" customWidth="1"/>
    <col min="6410" max="6411" width="14.59765625" style="2" customWidth="1"/>
    <col min="6412" max="6415" width="12.19921875" style="2" bestFit="1" customWidth="1"/>
    <col min="6416" max="6663" width="9" style="2"/>
    <col min="6664" max="6664" width="2.19921875" style="2" customWidth="1"/>
    <col min="6665" max="6665" width="26.59765625" style="2" customWidth="1"/>
    <col min="6666" max="6667" width="14.59765625" style="2" customWidth="1"/>
    <col min="6668" max="6671" width="12.19921875" style="2" bestFit="1" customWidth="1"/>
    <col min="6672" max="6919" width="9" style="2"/>
    <col min="6920" max="6920" width="2.19921875" style="2" customWidth="1"/>
    <col min="6921" max="6921" width="26.59765625" style="2" customWidth="1"/>
    <col min="6922" max="6923" width="14.59765625" style="2" customWidth="1"/>
    <col min="6924" max="6927" width="12.19921875" style="2" bestFit="1" customWidth="1"/>
    <col min="6928" max="7175" width="9" style="2"/>
    <col min="7176" max="7176" width="2.19921875" style="2" customWidth="1"/>
    <col min="7177" max="7177" width="26.59765625" style="2" customWidth="1"/>
    <col min="7178" max="7179" width="14.59765625" style="2" customWidth="1"/>
    <col min="7180" max="7183" width="12.19921875" style="2" bestFit="1" customWidth="1"/>
    <col min="7184" max="7431" width="9" style="2"/>
    <col min="7432" max="7432" width="2.19921875" style="2" customWidth="1"/>
    <col min="7433" max="7433" width="26.59765625" style="2" customWidth="1"/>
    <col min="7434" max="7435" width="14.59765625" style="2" customWidth="1"/>
    <col min="7436" max="7439" width="12.19921875" style="2" bestFit="1" customWidth="1"/>
    <col min="7440" max="7687" width="9" style="2"/>
    <col min="7688" max="7688" width="2.19921875" style="2" customWidth="1"/>
    <col min="7689" max="7689" width="26.59765625" style="2" customWidth="1"/>
    <col min="7690" max="7691" width="14.59765625" style="2" customWidth="1"/>
    <col min="7692" max="7695" width="12.19921875" style="2" bestFit="1" customWidth="1"/>
    <col min="7696" max="7943" width="9" style="2"/>
    <col min="7944" max="7944" width="2.19921875" style="2" customWidth="1"/>
    <col min="7945" max="7945" width="26.59765625" style="2" customWidth="1"/>
    <col min="7946" max="7947" width="14.59765625" style="2" customWidth="1"/>
    <col min="7948" max="7951" width="12.19921875" style="2" bestFit="1" customWidth="1"/>
    <col min="7952" max="8199" width="9" style="2"/>
    <col min="8200" max="8200" width="2.19921875" style="2" customWidth="1"/>
    <col min="8201" max="8201" width="26.59765625" style="2" customWidth="1"/>
    <col min="8202" max="8203" width="14.59765625" style="2" customWidth="1"/>
    <col min="8204" max="8207" width="12.19921875" style="2" bestFit="1" customWidth="1"/>
    <col min="8208" max="8455" width="9" style="2"/>
    <col min="8456" max="8456" width="2.19921875" style="2" customWidth="1"/>
    <col min="8457" max="8457" width="26.59765625" style="2" customWidth="1"/>
    <col min="8458" max="8459" width="14.59765625" style="2" customWidth="1"/>
    <col min="8460" max="8463" width="12.19921875" style="2" bestFit="1" customWidth="1"/>
    <col min="8464" max="8711" width="9" style="2"/>
    <col min="8712" max="8712" width="2.19921875" style="2" customWidth="1"/>
    <col min="8713" max="8713" width="26.59765625" style="2" customWidth="1"/>
    <col min="8714" max="8715" width="14.59765625" style="2" customWidth="1"/>
    <col min="8716" max="8719" width="12.19921875" style="2" bestFit="1" customWidth="1"/>
    <col min="8720" max="8967" width="9" style="2"/>
    <col min="8968" max="8968" width="2.19921875" style="2" customWidth="1"/>
    <col min="8969" max="8969" width="26.59765625" style="2" customWidth="1"/>
    <col min="8970" max="8971" width="14.59765625" style="2" customWidth="1"/>
    <col min="8972" max="8975" width="12.19921875" style="2" bestFit="1" customWidth="1"/>
    <col min="8976" max="9223" width="9" style="2"/>
    <col min="9224" max="9224" width="2.19921875" style="2" customWidth="1"/>
    <col min="9225" max="9225" width="26.59765625" style="2" customWidth="1"/>
    <col min="9226" max="9227" width="14.59765625" style="2" customWidth="1"/>
    <col min="9228" max="9231" width="12.19921875" style="2" bestFit="1" customWidth="1"/>
    <col min="9232" max="9479" width="9" style="2"/>
    <col min="9480" max="9480" width="2.19921875" style="2" customWidth="1"/>
    <col min="9481" max="9481" width="26.59765625" style="2" customWidth="1"/>
    <col min="9482" max="9483" width="14.59765625" style="2" customWidth="1"/>
    <col min="9484" max="9487" width="12.19921875" style="2" bestFit="1" customWidth="1"/>
    <col min="9488" max="9735" width="9" style="2"/>
    <col min="9736" max="9736" width="2.19921875" style="2" customWidth="1"/>
    <col min="9737" max="9737" width="26.59765625" style="2" customWidth="1"/>
    <col min="9738" max="9739" width="14.59765625" style="2" customWidth="1"/>
    <col min="9740" max="9743" width="12.19921875" style="2" bestFit="1" customWidth="1"/>
    <col min="9744" max="9991" width="9" style="2"/>
    <col min="9992" max="9992" width="2.19921875" style="2" customWidth="1"/>
    <col min="9993" max="9993" width="26.59765625" style="2" customWidth="1"/>
    <col min="9994" max="9995" width="14.59765625" style="2" customWidth="1"/>
    <col min="9996" max="9999" width="12.19921875" style="2" bestFit="1" customWidth="1"/>
    <col min="10000" max="10247" width="9" style="2"/>
    <col min="10248" max="10248" width="2.19921875" style="2" customWidth="1"/>
    <col min="10249" max="10249" width="26.59765625" style="2" customWidth="1"/>
    <col min="10250" max="10251" width="14.59765625" style="2" customWidth="1"/>
    <col min="10252" max="10255" width="12.19921875" style="2" bestFit="1" customWidth="1"/>
    <col min="10256" max="10503" width="9" style="2"/>
    <col min="10504" max="10504" width="2.19921875" style="2" customWidth="1"/>
    <col min="10505" max="10505" width="26.59765625" style="2" customWidth="1"/>
    <col min="10506" max="10507" width="14.59765625" style="2" customWidth="1"/>
    <col min="10508" max="10511" width="12.19921875" style="2" bestFit="1" customWidth="1"/>
    <col min="10512" max="10759" width="9" style="2"/>
    <col min="10760" max="10760" width="2.19921875" style="2" customWidth="1"/>
    <col min="10761" max="10761" width="26.59765625" style="2" customWidth="1"/>
    <col min="10762" max="10763" width="14.59765625" style="2" customWidth="1"/>
    <col min="10764" max="10767" width="12.19921875" style="2" bestFit="1" customWidth="1"/>
    <col min="10768" max="11015" width="9" style="2"/>
    <col min="11016" max="11016" width="2.19921875" style="2" customWidth="1"/>
    <col min="11017" max="11017" width="26.59765625" style="2" customWidth="1"/>
    <col min="11018" max="11019" width="14.59765625" style="2" customWidth="1"/>
    <col min="11020" max="11023" width="12.19921875" style="2" bestFit="1" customWidth="1"/>
    <col min="11024" max="11271" width="9" style="2"/>
    <col min="11272" max="11272" width="2.19921875" style="2" customWidth="1"/>
    <col min="11273" max="11273" width="26.59765625" style="2" customWidth="1"/>
    <col min="11274" max="11275" width="14.59765625" style="2" customWidth="1"/>
    <col min="11276" max="11279" width="12.19921875" style="2" bestFit="1" customWidth="1"/>
    <col min="11280" max="11527" width="9" style="2"/>
    <col min="11528" max="11528" width="2.19921875" style="2" customWidth="1"/>
    <col min="11529" max="11529" width="26.59765625" style="2" customWidth="1"/>
    <col min="11530" max="11531" width="14.59765625" style="2" customWidth="1"/>
    <col min="11532" max="11535" width="12.19921875" style="2" bestFit="1" customWidth="1"/>
    <col min="11536" max="11783" width="9" style="2"/>
    <col min="11784" max="11784" width="2.19921875" style="2" customWidth="1"/>
    <col min="11785" max="11785" width="26.59765625" style="2" customWidth="1"/>
    <col min="11786" max="11787" width="14.59765625" style="2" customWidth="1"/>
    <col min="11788" max="11791" width="12.19921875" style="2" bestFit="1" customWidth="1"/>
    <col min="11792" max="12039" width="9" style="2"/>
    <col min="12040" max="12040" width="2.19921875" style="2" customWidth="1"/>
    <col min="12041" max="12041" width="26.59765625" style="2" customWidth="1"/>
    <col min="12042" max="12043" width="14.59765625" style="2" customWidth="1"/>
    <col min="12044" max="12047" width="12.19921875" style="2" bestFit="1" customWidth="1"/>
    <col min="12048" max="12295" width="9" style="2"/>
    <col min="12296" max="12296" width="2.19921875" style="2" customWidth="1"/>
    <col min="12297" max="12297" width="26.59765625" style="2" customWidth="1"/>
    <col min="12298" max="12299" width="14.59765625" style="2" customWidth="1"/>
    <col min="12300" max="12303" width="12.19921875" style="2" bestFit="1" customWidth="1"/>
    <col min="12304" max="12551" width="9" style="2"/>
    <col min="12552" max="12552" width="2.19921875" style="2" customWidth="1"/>
    <col min="12553" max="12553" width="26.59765625" style="2" customWidth="1"/>
    <col min="12554" max="12555" width="14.59765625" style="2" customWidth="1"/>
    <col min="12556" max="12559" width="12.19921875" style="2" bestFit="1" customWidth="1"/>
    <col min="12560" max="12807" width="9" style="2"/>
    <col min="12808" max="12808" width="2.19921875" style="2" customWidth="1"/>
    <col min="12809" max="12809" width="26.59765625" style="2" customWidth="1"/>
    <col min="12810" max="12811" width="14.59765625" style="2" customWidth="1"/>
    <col min="12812" max="12815" width="12.19921875" style="2" bestFit="1" customWidth="1"/>
    <col min="12816" max="13063" width="9" style="2"/>
    <col min="13064" max="13064" width="2.19921875" style="2" customWidth="1"/>
    <col min="13065" max="13065" width="26.59765625" style="2" customWidth="1"/>
    <col min="13066" max="13067" width="14.59765625" style="2" customWidth="1"/>
    <col min="13068" max="13071" width="12.19921875" style="2" bestFit="1" customWidth="1"/>
    <col min="13072" max="13319" width="9" style="2"/>
    <col min="13320" max="13320" width="2.19921875" style="2" customWidth="1"/>
    <col min="13321" max="13321" width="26.59765625" style="2" customWidth="1"/>
    <col min="13322" max="13323" width="14.59765625" style="2" customWidth="1"/>
    <col min="13324" max="13327" width="12.19921875" style="2" bestFit="1" customWidth="1"/>
    <col min="13328" max="13575" width="9" style="2"/>
    <col min="13576" max="13576" width="2.19921875" style="2" customWidth="1"/>
    <col min="13577" max="13577" width="26.59765625" style="2" customWidth="1"/>
    <col min="13578" max="13579" width="14.59765625" style="2" customWidth="1"/>
    <col min="13580" max="13583" width="12.19921875" style="2" bestFit="1" customWidth="1"/>
    <col min="13584" max="13831" width="9" style="2"/>
    <col min="13832" max="13832" width="2.19921875" style="2" customWidth="1"/>
    <col min="13833" max="13833" width="26.59765625" style="2" customWidth="1"/>
    <col min="13834" max="13835" width="14.59765625" style="2" customWidth="1"/>
    <col min="13836" max="13839" width="12.19921875" style="2" bestFit="1" customWidth="1"/>
    <col min="13840" max="14087" width="9" style="2"/>
    <col min="14088" max="14088" width="2.19921875" style="2" customWidth="1"/>
    <col min="14089" max="14089" width="26.59765625" style="2" customWidth="1"/>
    <col min="14090" max="14091" width="14.59765625" style="2" customWidth="1"/>
    <col min="14092" max="14095" width="12.19921875" style="2" bestFit="1" customWidth="1"/>
    <col min="14096" max="14343" width="9" style="2"/>
    <col min="14344" max="14344" width="2.19921875" style="2" customWidth="1"/>
    <col min="14345" max="14345" width="26.59765625" style="2" customWidth="1"/>
    <col min="14346" max="14347" width="14.59765625" style="2" customWidth="1"/>
    <col min="14348" max="14351" width="12.19921875" style="2" bestFit="1" customWidth="1"/>
    <col min="14352" max="14599" width="9" style="2"/>
    <col min="14600" max="14600" width="2.19921875" style="2" customWidth="1"/>
    <col min="14601" max="14601" width="26.59765625" style="2" customWidth="1"/>
    <col min="14602" max="14603" width="14.59765625" style="2" customWidth="1"/>
    <col min="14604" max="14607" width="12.19921875" style="2" bestFit="1" customWidth="1"/>
    <col min="14608" max="14855" width="9" style="2"/>
    <col min="14856" max="14856" width="2.19921875" style="2" customWidth="1"/>
    <col min="14857" max="14857" width="26.59765625" style="2" customWidth="1"/>
    <col min="14858" max="14859" width="14.59765625" style="2" customWidth="1"/>
    <col min="14860" max="14863" width="12.19921875" style="2" bestFit="1" customWidth="1"/>
    <col min="14864" max="15111" width="9" style="2"/>
    <col min="15112" max="15112" width="2.19921875" style="2" customWidth="1"/>
    <col min="15113" max="15113" width="26.59765625" style="2" customWidth="1"/>
    <col min="15114" max="15115" width="14.59765625" style="2" customWidth="1"/>
    <col min="15116" max="15119" width="12.19921875" style="2" bestFit="1" customWidth="1"/>
    <col min="15120" max="15367" width="9" style="2"/>
    <col min="15368" max="15368" width="2.19921875" style="2" customWidth="1"/>
    <col min="15369" max="15369" width="26.59765625" style="2" customWidth="1"/>
    <col min="15370" max="15371" width="14.59765625" style="2" customWidth="1"/>
    <col min="15372" max="15375" width="12.19921875" style="2" bestFit="1" customWidth="1"/>
    <col min="15376" max="15623" width="9" style="2"/>
    <col min="15624" max="15624" width="2.19921875" style="2" customWidth="1"/>
    <col min="15625" max="15625" width="26.59765625" style="2" customWidth="1"/>
    <col min="15626" max="15627" width="14.59765625" style="2" customWidth="1"/>
    <col min="15628" max="15631" width="12.19921875" style="2" bestFit="1" customWidth="1"/>
    <col min="15632" max="15879" width="9" style="2"/>
    <col min="15880" max="15880" width="2.19921875" style="2" customWidth="1"/>
    <col min="15881" max="15881" width="26.59765625" style="2" customWidth="1"/>
    <col min="15882" max="15883" width="14.59765625" style="2" customWidth="1"/>
    <col min="15884" max="15887" width="12.19921875" style="2" bestFit="1" customWidth="1"/>
    <col min="15888" max="16135" width="9" style="2"/>
    <col min="16136" max="16136" width="2.19921875" style="2" customWidth="1"/>
    <col min="16137" max="16137" width="26.59765625" style="2" customWidth="1"/>
    <col min="16138" max="16139" width="14.59765625" style="2" customWidth="1"/>
    <col min="16140" max="16143" width="12.19921875" style="2" bestFit="1" customWidth="1"/>
    <col min="16144" max="16384" width="9" style="2"/>
  </cols>
  <sheetData>
    <row r="1" spans="1:11" ht="30" customHeight="1" thickBot="1">
      <c r="A1" s="259" t="s">
        <v>1836</v>
      </c>
      <c r="B1" s="569"/>
      <c r="C1" s="569"/>
      <c r="D1" s="569"/>
      <c r="E1" s="569"/>
      <c r="F1" s="569"/>
      <c r="G1" s="569"/>
      <c r="H1" s="569"/>
      <c r="I1" s="569"/>
      <c r="J1" s="553"/>
      <c r="K1" s="343" t="s">
        <v>1837</v>
      </c>
    </row>
    <row r="2" spans="1:11" s="11" customFormat="1" ht="18" customHeight="1">
      <c r="A2" s="2187" t="s">
        <v>1838</v>
      </c>
      <c r="B2" s="2181"/>
      <c r="C2" s="2311" t="s">
        <v>1839</v>
      </c>
      <c r="D2" s="2312"/>
      <c r="E2" s="2312"/>
      <c r="F2" s="2312"/>
      <c r="G2" s="2312"/>
      <c r="H2" s="2312"/>
      <c r="I2" s="2312"/>
      <c r="J2" s="2312"/>
      <c r="K2" s="2312"/>
    </row>
    <row r="3" spans="1:11" s="11" customFormat="1" ht="18" customHeight="1">
      <c r="A3" s="2196"/>
      <c r="B3" s="2182"/>
      <c r="C3" s="246" t="s">
        <v>1840</v>
      </c>
      <c r="D3" s="246" t="s">
        <v>1831</v>
      </c>
      <c r="E3" s="246" t="s">
        <v>1841</v>
      </c>
      <c r="F3" s="246" t="s">
        <v>40</v>
      </c>
      <c r="G3" s="246" t="s">
        <v>41</v>
      </c>
      <c r="H3" s="246" t="s">
        <v>79</v>
      </c>
      <c r="I3" s="246" t="s">
        <v>43</v>
      </c>
      <c r="J3" s="542" t="s">
        <v>44</v>
      </c>
      <c r="K3" s="241"/>
    </row>
    <row r="4" spans="1:11" s="11" customFormat="1" ht="18" customHeight="1">
      <c r="A4" s="11">
        <v>1</v>
      </c>
      <c r="B4" s="391" t="s">
        <v>1842</v>
      </c>
      <c r="C4" s="950">
        <v>2303</v>
      </c>
      <c r="D4" s="950">
        <v>2265.3392885772873</v>
      </c>
      <c r="E4" s="950">
        <v>2693</v>
      </c>
      <c r="F4" s="950">
        <v>2703</v>
      </c>
      <c r="G4" s="950">
        <v>2816</v>
      </c>
      <c r="H4" s="950">
        <v>2382.5223376438616</v>
      </c>
      <c r="I4" s="950">
        <v>2374.1781012630031</v>
      </c>
      <c r="J4" s="951">
        <v>2127.3703385358458</v>
      </c>
      <c r="K4" s="951"/>
    </row>
    <row r="5" spans="1:11" s="11" customFormat="1" ht="18" customHeight="1">
      <c r="A5" s="11">
        <v>2</v>
      </c>
      <c r="B5" s="391" t="s">
        <v>1843</v>
      </c>
      <c r="C5" s="950">
        <v>194</v>
      </c>
      <c r="D5" s="950">
        <v>110.56527382205269</v>
      </c>
      <c r="E5" s="950">
        <v>22</v>
      </c>
      <c r="F5" s="950">
        <v>23</v>
      </c>
      <c r="G5" s="950">
        <v>22</v>
      </c>
      <c r="H5" s="950">
        <v>16.080086580086583</v>
      </c>
      <c r="I5" s="950">
        <v>8.2121377802077671</v>
      </c>
      <c r="J5" s="951">
        <v>0</v>
      </c>
      <c r="K5" s="951"/>
    </row>
    <row r="6" spans="1:11" s="11" customFormat="1" ht="18" customHeight="1">
      <c r="A6" s="11">
        <v>3</v>
      </c>
      <c r="B6" s="391" t="s">
        <v>1844</v>
      </c>
      <c r="C6" s="950">
        <v>26510</v>
      </c>
      <c r="D6" s="950">
        <v>32982.580656742211</v>
      </c>
      <c r="E6" s="950">
        <v>28015</v>
      </c>
      <c r="F6" s="950">
        <v>27077</v>
      </c>
      <c r="G6" s="950">
        <v>48275</v>
      </c>
      <c r="H6" s="950">
        <v>45838.133467813044</v>
      </c>
      <c r="I6" s="950">
        <v>45189.731822266564</v>
      </c>
      <c r="J6" s="951">
        <v>35314.209272440712</v>
      </c>
      <c r="K6" s="951"/>
    </row>
    <row r="7" spans="1:11" s="11" customFormat="1" ht="18" customHeight="1">
      <c r="A7" s="11">
        <v>4</v>
      </c>
      <c r="B7" s="728" t="s">
        <v>1845</v>
      </c>
      <c r="C7" s="950">
        <v>4314</v>
      </c>
      <c r="D7" s="950">
        <v>7626.2483533384493</v>
      </c>
      <c r="E7" s="950">
        <v>7951</v>
      </c>
      <c r="F7" s="950">
        <v>8493</v>
      </c>
      <c r="G7" s="950">
        <v>8598</v>
      </c>
      <c r="H7" s="950">
        <v>7266.9616829761726</v>
      </c>
      <c r="I7" s="950">
        <v>7164.4072555118173</v>
      </c>
      <c r="J7" s="951">
        <v>5992.1337058086892</v>
      </c>
      <c r="K7" s="951"/>
    </row>
    <row r="8" spans="1:11" s="11" customFormat="1" ht="18" customHeight="1">
      <c r="A8" s="11">
        <v>5</v>
      </c>
      <c r="B8" s="391" t="s">
        <v>1846</v>
      </c>
      <c r="C8" s="950">
        <v>3178</v>
      </c>
      <c r="D8" s="950">
        <v>4389.6749683431999</v>
      </c>
      <c r="E8" s="950">
        <v>6394</v>
      </c>
      <c r="F8" s="950">
        <v>4908</v>
      </c>
      <c r="G8" s="950">
        <v>3895</v>
      </c>
      <c r="H8" s="950">
        <v>13178.178508373312</v>
      </c>
      <c r="I8" s="950">
        <v>7412.5909463711141</v>
      </c>
      <c r="J8" s="952">
        <v>7338.5972116659623</v>
      </c>
      <c r="K8" s="952"/>
    </row>
    <row r="9" spans="1:11" s="11" customFormat="1" ht="18" customHeight="1">
      <c r="A9" s="11">
        <v>6</v>
      </c>
      <c r="B9" s="391" t="s">
        <v>1847</v>
      </c>
      <c r="C9" s="950">
        <v>4216</v>
      </c>
      <c r="D9" s="950">
        <v>5146.3447273523743</v>
      </c>
      <c r="E9" s="950">
        <v>6350</v>
      </c>
      <c r="F9" s="950">
        <v>6409</v>
      </c>
      <c r="G9" s="950">
        <v>6645</v>
      </c>
      <c r="H9" s="950">
        <v>5270.5050392477078</v>
      </c>
      <c r="I9" s="950">
        <v>4717.5283455014787</v>
      </c>
      <c r="J9" s="951">
        <v>4756.210049001189</v>
      </c>
      <c r="K9" s="951"/>
    </row>
    <row r="10" spans="1:11" s="11" customFormat="1" ht="18" customHeight="1">
      <c r="A10" s="11">
        <v>7</v>
      </c>
      <c r="B10" s="391" t="s">
        <v>1848</v>
      </c>
      <c r="C10" s="950">
        <v>6028</v>
      </c>
      <c r="D10" s="950">
        <v>3840.2303709792527</v>
      </c>
      <c r="E10" s="950">
        <v>3561</v>
      </c>
      <c r="F10" s="950">
        <v>3331</v>
      </c>
      <c r="G10" s="950">
        <v>3133</v>
      </c>
      <c r="H10" s="950">
        <v>4451.0288787890258</v>
      </c>
      <c r="I10" s="950">
        <v>3649.7573761031081</v>
      </c>
      <c r="J10" s="951">
        <v>3564.5721682847898</v>
      </c>
      <c r="K10" s="951"/>
    </row>
    <row r="11" spans="1:11" s="11" customFormat="1" ht="18" customHeight="1">
      <c r="A11" s="11">
        <v>8</v>
      </c>
      <c r="B11" s="391" t="s">
        <v>1849</v>
      </c>
      <c r="C11" s="950">
        <v>21836</v>
      </c>
      <c r="D11" s="950">
        <v>5382.0560589016332</v>
      </c>
      <c r="E11" s="950">
        <v>5616</v>
      </c>
      <c r="F11" s="950">
        <v>5842</v>
      </c>
      <c r="G11" s="950">
        <v>5743</v>
      </c>
      <c r="H11" s="950">
        <v>4113.0598749831179</v>
      </c>
      <c r="I11" s="950">
        <v>2044.5246989931481</v>
      </c>
      <c r="J11" s="951">
        <v>1847.5503457781792</v>
      </c>
      <c r="K11" s="951"/>
    </row>
    <row r="12" spans="1:11" s="11" customFormat="1" ht="18" customHeight="1">
      <c r="A12" s="11">
        <v>9</v>
      </c>
      <c r="B12" s="391" t="s">
        <v>1850</v>
      </c>
      <c r="C12" s="950">
        <v>1038</v>
      </c>
      <c r="D12" s="950">
        <v>381.25291210381414</v>
      </c>
      <c r="E12" s="950">
        <v>166</v>
      </c>
      <c r="F12" s="950">
        <v>-80</v>
      </c>
      <c r="G12" s="950">
        <v>-372</v>
      </c>
      <c r="H12" s="950">
        <v>826.69414795305431</v>
      </c>
      <c r="I12" s="950">
        <v>896.79929094236036</v>
      </c>
      <c r="J12" s="951">
        <v>962.96052631578948</v>
      </c>
      <c r="K12" s="951"/>
    </row>
    <row r="13" spans="1:11" s="11" customFormat="1" ht="18" customHeight="1">
      <c r="A13" s="11">
        <v>10</v>
      </c>
      <c r="B13" s="391" t="s">
        <v>1851</v>
      </c>
      <c r="C13" s="950">
        <v>3892</v>
      </c>
      <c r="D13" s="950">
        <v>4301.0970696727636</v>
      </c>
      <c r="E13" s="950">
        <v>4083</v>
      </c>
      <c r="F13" s="950">
        <v>4026</v>
      </c>
      <c r="G13" s="950">
        <v>4892</v>
      </c>
      <c r="H13" s="950">
        <v>4440.0086885834462</v>
      </c>
      <c r="I13" s="950">
        <v>4194.8429305498639</v>
      </c>
      <c r="J13" s="951">
        <v>3840.6348225754205</v>
      </c>
      <c r="K13" s="951"/>
    </row>
    <row r="14" spans="1:11" s="11" customFormat="1" ht="18" customHeight="1">
      <c r="A14" s="11">
        <v>11</v>
      </c>
      <c r="B14" s="391" t="s">
        <v>1852</v>
      </c>
      <c r="C14" s="950">
        <v>17937</v>
      </c>
      <c r="D14" s="950">
        <v>13927.093846680198</v>
      </c>
      <c r="E14" s="950">
        <v>14177</v>
      </c>
      <c r="F14" s="950">
        <v>14709</v>
      </c>
      <c r="G14" s="950">
        <v>14612</v>
      </c>
      <c r="H14" s="950">
        <v>14900.826674185766</v>
      </c>
      <c r="I14" s="950">
        <v>14103.366657907476</v>
      </c>
      <c r="J14" s="951">
        <v>14322.155321881453</v>
      </c>
      <c r="K14" s="951"/>
    </row>
    <row r="15" spans="1:11" s="11" customFormat="1" ht="18" customHeight="1">
      <c r="A15" s="11">
        <v>12</v>
      </c>
      <c r="B15" s="391" t="s">
        <v>1853</v>
      </c>
      <c r="C15" s="953" t="s">
        <v>384</v>
      </c>
      <c r="D15" s="953">
        <v>4328.2537999939195</v>
      </c>
      <c r="E15" s="953">
        <v>4439</v>
      </c>
      <c r="F15" s="953">
        <v>4353</v>
      </c>
      <c r="G15" s="953">
        <v>4365</v>
      </c>
      <c r="H15" s="953">
        <v>4983.2848663232744</v>
      </c>
      <c r="I15" s="953">
        <v>4939.9017816242867</v>
      </c>
      <c r="J15" s="951">
        <v>5019.4769610765698</v>
      </c>
      <c r="K15" s="951"/>
    </row>
    <row r="16" spans="1:11" s="11" customFormat="1" ht="18" customHeight="1">
      <c r="A16" s="11">
        <v>13</v>
      </c>
      <c r="B16" s="391" t="s">
        <v>999</v>
      </c>
      <c r="C16" s="950">
        <v>5569</v>
      </c>
      <c r="D16" s="950">
        <v>6924.6093306309695</v>
      </c>
      <c r="E16" s="950">
        <v>7472</v>
      </c>
      <c r="F16" s="950">
        <v>7400</v>
      </c>
      <c r="G16" s="950">
        <v>7409</v>
      </c>
      <c r="H16" s="950">
        <v>7353.2307046137239</v>
      </c>
      <c r="I16" s="950">
        <v>6874.393295810446</v>
      </c>
      <c r="J16" s="951">
        <v>7039.1432994250335</v>
      </c>
      <c r="K16" s="951"/>
    </row>
    <row r="17" spans="1:11" s="11" customFormat="1" ht="18" customHeight="1">
      <c r="A17" s="11">
        <v>14</v>
      </c>
      <c r="B17" s="391" t="s">
        <v>1854</v>
      </c>
      <c r="C17" s="953" t="s">
        <v>384</v>
      </c>
      <c r="D17" s="953">
        <v>5404.0293141531301</v>
      </c>
      <c r="E17" s="953">
        <v>5122</v>
      </c>
      <c r="F17" s="953">
        <v>5260</v>
      </c>
      <c r="G17" s="953">
        <v>5402</v>
      </c>
      <c r="H17" s="953">
        <v>4616.8076462489198</v>
      </c>
      <c r="I17" s="953">
        <v>4562.2458268456685</v>
      </c>
      <c r="J17" s="951">
        <v>4435.9513274336286</v>
      </c>
      <c r="K17" s="951"/>
    </row>
    <row r="18" spans="1:11" s="11" customFormat="1" ht="18" customHeight="1">
      <c r="A18" s="11">
        <v>15</v>
      </c>
      <c r="B18" s="391" t="s">
        <v>1855</v>
      </c>
      <c r="C18" s="953" t="s">
        <v>384</v>
      </c>
      <c r="D18" s="953">
        <v>10839.357198960528</v>
      </c>
      <c r="E18" s="953">
        <v>11246</v>
      </c>
      <c r="F18" s="953">
        <v>11651</v>
      </c>
      <c r="G18" s="953">
        <v>12344</v>
      </c>
      <c r="H18" s="953">
        <v>10611.96140613138</v>
      </c>
      <c r="I18" s="953">
        <v>10180.8038714903</v>
      </c>
      <c r="J18" s="951">
        <v>9940.6421817940372</v>
      </c>
      <c r="K18" s="951"/>
    </row>
    <row r="19" spans="1:11" s="11" customFormat="1" ht="18" customHeight="1">
      <c r="A19" s="11">
        <v>16</v>
      </c>
      <c r="B19" s="11" t="s">
        <v>1856</v>
      </c>
      <c r="C19" s="950">
        <v>2503</v>
      </c>
      <c r="D19" s="950">
        <v>5165.6788373375048</v>
      </c>
      <c r="E19" s="950">
        <v>5376</v>
      </c>
      <c r="F19" s="950">
        <v>5650</v>
      </c>
      <c r="G19" s="950">
        <v>5803</v>
      </c>
      <c r="H19" s="950">
        <v>4254.0850817963192</v>
      </c>
      <c r="I19" s="950">
        <v>3699.9044918202453</v>
      </c>
      <c r="J19" s="951">
        <v>3700.2816450889468</v>
      </c>
      <c r="K19" s="951"/>
    </row>
    <row r="20" spans="1:11" s="11" customFormat="1" ht="18" customHeight="1">
      <c r="A20" s="2730" t="s">
        <v>1857</v>
      </c>
      <c r="B20" s="2731"/>
      <c r="C20" s="954">
        <v>99519</v>
      </c>
      <c r="D20" s="954">
        <v>113014.41200758929</v>
      </c>
      <c r="E20" s="954">
        <v>112683</v>
      </c>
      <c r="F20" s="954">
        <v>111756</v>
      </c>
      <c r="G20" s="954">
        <v>133582</v>
      </c>
      <c r="H20" s="954">
        <v>134503.36909224221</v>
      </c>
      <c r="I20" s="954">
        <v>122013.18883078107</v>
      </c>
      <c r="J20" s="955">
        <v>110201.88917710625</v>
      </c>
      <c r="K20" s="955"/>
    </row>
    <row r="21" spans="1:11" s="11" customFormat="1" ht="18" customHeight="1">
      <c r="A21" s="2732" t="s">
        <v>1858</v>
      </c>
      <c r="B21" s="2733"/>
      <c r="C21" s="956">
        <v>1790</v>
      </c>
      <c r="D21" s="956">
        <v>1881.890745998227</v>
      </c>
      <c r="E21" s="956">
        <v>1623</v>
      </c>
      <c r="F21" s="956">
        <v>1766</v>
      </c>
      <c r="G21" s="956">
        <v>2258</v>
      </c>
      <c r="H21" s="956">
        <v>2343.8727612644134</v>
      </c>
      <c r="I21" s="956">
        <v>2161.8118141640794</v>
      </c>
      <c r="J21" s="957">
        <v>2284.8352151825825</v>
      </c>
      <c r="K21" s="957"/>
    </row>
    <row r="22" spans="1:11" s="11" customFormat="1" ht="18" customHeight="1">
      <c r="A22" s="2732" t="s">
        <v>1859</v>
      </c>
      <c r="B22" s="2733"/>
      <c r="C22" s="956">
        <v>708</v>
      </c>
      <c r="D22" s="956">
        <v>940.18078905626419</v>
      </c>
      <c r="E22" s="956">
        <v>1074</v>
      </c>
      <c r="F22" s="956">
        <v>1160</v>
      </c>
      <c r="G22" s="956">
        <v>1560</v>
      </c>
      <c r="H22" s="956">
        <v>1880.9918714631376</v>
      </c>
      <c r="I22" s="956">
        <v>1719.8126400450726</v>
      </c>
      <c r="J22" s="957">
        <v>1979.182526272702</v>
      </c>
      <c r="K22" s="957"/>
    </row>
    <row r="23" spans="1:11" s="11" customFormat="1" ht="18" customHeight="1" thickBot="1">
      <c r="A23" s="2728" t="s">
        <v>1860</v>
      </c>
      <c r="B23" s="2729"/>
      <c r="C23" s="958">
        <v>100601</v>
      </c>
      <c r="D23" s="958">
        <v>113956.12196453125</v>
      </c>
      <c r="E23" s="958">
        <v>113232</v>
      </c>
      <c r="F23" s="958">
        <v>112362</v>
      </c>
      <c r="G23" s="958">
        <v>134281</v>
      </c>
      <c r="H23" s="958">
        <v>134966.24998204349</v>
      </c>
      <c r="I23" s="958">
        <v>122455.18800490008</v>
      </c>
      <c r="J23" s="959">
        <v>110507.54186601612</v>
      </c>
      <c r="K23" s="959"/>
    </row>
    <row r="24" spans="1:11" ht="16.8" customHeight="1">
      <c r="A24" s="258" t="s">
        <v>1861</v>
      </c>
      <c r="B24" s="757"/>
    </row>
    <row r="25" spans="1:11" ht="16.8" customHeight="1">
      <c r="A25" s="11" t="s">
        <v>1862</v>
      </c>
      <c r="B25" s="11"/>
    </row>
    <row r="26" spans="1:11">
      <c r="B26" s="11"/>
    </row>
  </sheetData>
  <mergeCells count="6">
    <mergeCell ref="A23:B23"/>
    <mergeCell ref="A2:B3"/>
    <mergeCell ref="C2:K2"/>
    <mergeCell ref="A20:B20"/>
    <mergeCell ref="A21:B21"/>
    <mergeCell ref="A22:B22"/>
  </mergeCells>
  <phoneticPr fontId="4"/>
  <pageMargins left="0.78740157480314965" right="0.78740157480314965" top="0.98425196850393704" bottom="0.98425196850393704" header="0.51181102362204722" footer="0.51181102362204722"/>
  <pageSetup paperSize="9" scale="8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23812-F996-48E5-8ED0-E26D357DD34E}">
  <sheetPr codeName="Sheet7">
    <pageSetUpPr fitToPage="1"/>
  </sheetPr>
  <dimension ref="A1:M29"/>
  <sheetViews>
    <sheetView workbookViewId="0">
      <selection activeCell="D1" sqref="D1"/>
    </sheetView>
  </sheetViews>
  <sheetFormatPr defaultColWidth="9" defaultRowHeight="18.75" customHeight="1"/>
  <cols>
    <col min="1" max="16384" width="9" style="30"/>
  </cols>
  <sheetData>
    <row r="1" spans="1:13" s="82" customFormat="1" ht="30" customHeight="1" thickBot="1">
      <c r="A1" s="2139" t="s">
        <v>173</v>
      </c>
      <c r="B1" s="2139"/>
      <c r="C1" s="2139"/>
      <c r="D1" s="2139"/>
      <c r="E1" s="2139"/>
      <c r="M1" s="3" t="s">
        <v>174</v>
      </c>
    </row>
    <row r="2" spans="1:13" s="11" customFormat="1" ht="18.75" customHeight="1">
      <c r="A2" s="2180" t="s">
        <v>49</v>
      </c>
      <c r="B2" s="105"/>
      <c r="C2" s="2202" t="s">
        <v>175</v>
      </c>
      <c r="D2" s="2202" t="s">
        <v>176</v>
      </c>
      <c r="E2" s="2202" t="s">
        <v>177</v>
      </c>
      <c r="F2" s="2202" t="s">
        <v>178</v>
      </c>
      <c r="G2" s="2183" t="s">
        <v>179</v>
      </c>
      <c r="H2" s="2184"/>
      <c r="I2" s="2185"/>
      <c r="J2" s="2205" t="s">
        <v>180</v>
      </c>
      <c r="K2" s="2205" t="s">
        <v>181</v>
      </c>
      <c r="L2" s="2205" t="s">
        <v>182</v>
      </c>
      <c r="M2" s="2208" t="s">
        <v>183</v>
      </c>
    </row>
    <row r="3" spans="1:13" s="11" customFormat="1" ht="18.75" customHeight="1">
      <c r="A3" s="2181"/>
      <c r="B3" s="40" t="s">
        <v>184</v>
      </c>
      <c r="C3" s="2198"/>
      <c r="D3" s="2198"/>
      <c r="E3" s="2198"/>
      <c r="F3" s="2198"/>
      <c r="G3" s="106" t="s">
        <v>185</v>
      </c>
      <c r="H3" s="106" t="s">
        <v>186</v>
      </c>
      <c r="I3" s="106" t="s">
        <v>187</v>
      </c>
      <c r="J3" s="2206"/>
      <c r="K3" s="2206"/>
      <c r="L3" s="2206"/>
      <c r="M3" s="2188"/>
    </row>
    <row r="4" spans="1:13" s="11" customFormat="1" ht="18.75" customHeight="1">
      <c r="A4" s="2204"/>
      <c r="B4" s="108"/>
      <c r="C4" s="2203"/>
      <c r="D4" s="2193"/>
      <c r="E4" s="2193"/>
      <c r="F4" s="2193"/>
      <c r="G4" s="109" t="s">
        <v>188</v>
      </c>
      <c r="H4" s="110" t="s">
        <v>189</v>
      </c>
      <c r="I4" s="110" t="s">
        <v>190</v>
      </c>
      <c r="J4" s="2207"/>
      <c r="K4" s="2207"/>
      <c r="L4" s="2207"/>
      <c r="M4" s="2189"/>
    </row>
    <row r="5" spans="1:13" s="11" customFormat="1" ht="18.75" customHeight="1">
      <c r="A5" s="40" t="s">
        <v>191</v>
      </c>
      <c r="B5" s="111">
        <v>9041</v>
      </c>
      <c r="C5" s="112">
        <v>35817</v>
      </c>
      <c r="D5" s="112">
        <v>8228</v>
      </c>
      <c r="E5" s="112">
        <v>24594</v>
      </c>
      <c r="F5" s="112">
        <v>2995</v>
      </c>
      <c r="G5" s="113">
        <v>22.972331574392051</v>
      </c>
      <c r="H5" s="114">
        <v>68.665717396766894</v>
      </c>
      <c r="I5" s="114">
        <v>8.3619510288410517</v>
      </c>
      <c r="J5" s="115">
        <v>33.455314304301865</v>
      </c>
      <c r="K5" s="115">
        <v>12.177766935024803</v>
      </c>
      <c r="L5" s="115">
        <v>45.633081239326664</v>
      </c>
      <c r="M5" s="116">
        <v>36.400097228974232</v>
      </c>
    </row>
    <row r="6" spans="1:13" s="11" customFormat="1" ht="18.75" customHeight="1">
      <c r="A6" s="40">
        <v>50</v>
      </c>
      <c r="B6" s="111">
        <v>9830</v>
      </c>
      <c r="C6" s="112">
        <v>37311</v>
      </c>
      <c r="D6" s="112">
        <v>8446</v>
      </c>
      <c r="E6" s="112">
        <v>25326</v>
      </c>
      <c r="F6" s="112">
        <v>3539</v>
      </c>
      <c r="G6" s="113">
        <v>22.636755916485754</v>
      </c>
      <c r="H6" s="114">
        <v>67.878105652488543</v>
      </c>
      <c r="I6" s="114">
        <v>9.4851384310257032</v>
      </c>
      <c r="J6" s="115">
        <v>33.349127378978125</v>
      </c>
      <c r="K6" s="115">
        <v>13.973781884229645</v>
      </c>
      <c r="L6" s="115">
        <v>47.322909263207769</v>
      </c>
      <c r="M6" s="116">
        <v>41.901491830452287</v>
      </c>
    </row>
    <row r="7" spans="1:13" s="11" customFormat="1" ht="18.75" customHeight="1">
      <c r="A7" s="40">
        <v>55</v>
      </c>
      <c r="B7" s="111">
        <v>10441</v>
      </c>
      <c r="C7" s="112">
        <v>36083</v>
      </c>
      <c r="D7" s="112">
        <v>7860</v>
      </c>
      <c r="E7" s="112">
        <v>23969</v>
      </c>
      <c r="F7" s="112">
        <v>4254</v>
      </c>
      <c r="G7" s="113">
        <f t="shared" ref="G7:G13" si="0">D7/C7*100</f>
        <v>21.783111160380233</v>
      </c>
      <c r="H7" s="114">
        <f t="shared" ref="H7:H13" si="1">E7/C7*100</f>
        <v>66.427403486406348</v>
      </c>
      <c r="I7" s="114">
        <f t="shared" ref="I7:I13" si="2">F7/C7*100</f>
        <v>11.789485353213426</v>
      </c>
      <c r="J7" s="115">
        <f t="shared" ref="J7:J13" si="3">D7/E7*100</f>
        <v>32.7923567941925</v>
      </c>
      <c r="K7" s="115">
        <f t="shared" ref="K7:K13" si="4">F7/E7*100</f>
        <v>17.747924402353039</v>
      </c>
      <c r="L7" s="115">
        <f t="shared" ref="L7:L13" si="5">(D7+F7)/E7*100</f>
        <v>50.540281196545536</v>
      </c>
      <c r="M7" s="116">
        <f t="shared" ref="M7:M13" si="6">F7/D7*100</f>
        <v>54.122137404580151</v>
      </c>
    </row>
    <row r="8" spans="1:13" s="11" customFormat="1" ht="18.75" customHeight="1">
      <c r="A8" s="40">
        <v>60</v>
      </c>
      <c r="B8" s="111">
        <v>10432</v>
      </c>
      <c r="C8" s="112">
        <v>35460</v>
      </c>
      <c r="D8" s="112">
        <v>6967</v>
      </c>
      <c r="E8" s="112">
        <v>23636</v>
      </c>
      <c r="F8" s="112">
        <v>4857</v>
      </c>
      <c r="G8" s="113">
        <f t="shared" si="0"/>
        <v>19.647490129723632</v>
      </c>
      <c r="H8" s="114">
        <f t="shared" si="1"/>
        <v>66.655386350817821</v>
      </c>
      <c r="I8" s="114">
        <f t="shared" si="2"/>
        <v>13.697123519458545</v>
      </c>
      <c r="J8" s="115">
        <f t="shared" si="3"/>
        <v>29.476222711118634</v>
      </c>
      <c r="K8" s="115">
        <f t="shared" si="4"/>
        <v>20.549162294804535</v>
      </c>
      <c r="L8" s="115">
        <f t="shared" si="5"/>
        <v>50.02538500592317</v>
      </c>
      <c r="M8" s="116">
        <f t="shared" si="6"/>
        <v>69.714367733601264</v>
      </c>
    </row>
    <row r="9" spans="1:13" s="11" customFormat="1" ht="18.75" customHeight="1">
      <c r="A9" s="40" t="s">
        <v>192</v>
      </c>
      <c r="B9" s="117">
        <v>10502</v>
      </c>
      <c r="C9" s="118">
        <v>34300</v>
      </c>
      <c r="D9" s="118">
        <v>5734</v>
      </c>
      <c r="E9" s="118">
        <v>22576</v>
      </c>
      <c r="F9" s="118">
        <v>5946</v>
      </c>
      <c r="G9" s="113">
        <f t="shared" si="0"/>
        <v>16.717201166180757</v>
      </c>
      <c r="H9" s="114">
        <f t="shared" si="1"/>
        <v>65.819241982507293</v>
      </c>
      <c r="I9" s="114">
        <f t="shared" si="2"/>
        <v>17.335276967930032</v>
      </c>
      <c r="J9" s="115">
        <f t="shared" si="3"/>
        <v>25.398653437278522</v>
      </c>
      <c r="K9" s="115">
        <f t="shared" si="4"/>
        <v>26.337703756201275</v>
      </c>
      <c r="L9" s="115">
        <f t="shared" si="5"/>
        <v>51.736357193479797</v>
      </c>
      <c r="M9" s="116">
        <f t="shared" si="6"/>
        <v>103.69724450645275</v>
      </c>
    </row>
    <row r="10" spans="1:13" s="11" customFormat="1" ht="18.75" customHeight="1">
      <c r="A10" s="40">
        <v>7</v>
      </c>
      <c r="B10" s="117">
        <v>10788</v>
      </c>
      <c r="C10" s="112">
        <v>33655</v>
      </c>
      <c r="D10" s="112">
        <v>5071</v>
      </c>
      <c r="E10" s="112">
        <v>21501</v>
      </c>
      <c r="F10" s="112">
        <v>7083</v>
      </c>
      <c r="G10" s="113">
        <f t="shared" si="0"/>
        <v>15.067597682365175</v>
      </c>
      <c r="H10" s="114">
        <f t="shared" si="1"/>
        <v>63.886495320160449</v>
      </c>
      <c r="I10" s="114">
        <f t="shared" si="2"/>
        <v>21.045906997474372</v>
      </c>
      <c r="J10" s="115">
        <f t="shared" si="3"/>
        <v>23.584949537230827</v>
      </c>
      <c r="K10" s="115">
        <f t="shared" si="4"/>
        <v>32.942653830054411</v>
      </c>
      <c r="L10" s="115">
        <f t="shared" si="5"/>
        <v>56.527603367285238</v>
      </c>
      <c r="M10" s="116">
        <f t="shared" si="6"/>
        <v>139.67659238808915</v>
      </c>
    </row>
    <row r="11" spans="1:13" s="11" customFormat="1" ht="18.75" customHeight="1">
      <c r="A11" s="40">
        <v>12</v>
      </c>
      <c r="B11" s="111">
        <v>11244</v>
      </c>
      <c r="C11" s="112">
        <v>33550</v>
      </c>
      <c r="D11" s="112">
        <v>4885</v>
      </c>
      <c r="E11" s="112">
        <v>20686</v>
      </c>
      <c r="F11" s="112">
        <v>7979</v>
      </c>
      <c r="G11" s="113">
        <f t="shared" si="0"/>
        <v>14.560357675111774</v>
      </c>
      <c r="H11" s="113">
        <f t="shared" si="1"/>
        <v>61.65722801788376</v>
      </c>
      <c r="I11" s="113">
        <f t="shared" si="2"/>
        <v>23.782414307004469</v>
      </c>
      <c r="J11" s="115">
        <f t="shared" si="3"/>
        <v>23.615005317606112</v>
      </c>
      <c r="K11" s="115">
        <f t="shared" si="4"/>
        <v>38.571981049985496</v>
      </c>
      <c r="L11" s="115">
        <f t="shared" si="5"/>
        <v>62.186986367591615</v>
      </c>
      <c r="M11" s="116">
        <f t="shared" si="6"/>
        <v>163.33674513817809</v>
      </c>
    </row>
    <row r="12" spans="1:13" s="11" customFormat="1" ht="18.75" customHeight="1">
      <c r="A12" s="40">
        <v>17</v>
      </c>
      <c r="B12" s="111">
        <v>11240</v>
      </c>
      <c r="C12" s="112">
        <v>32145</v>
      </c>
      <c r="D12" s="112">
        <v>4489</v>
      </c>
      <c r="E12" s="112">
        <v>19086</v>
      </c>
      <c r="F12" s="112">
        <v>8567</v>
      </c>
      <c r="G12" s="113">
        <f t="shared" si="0"/>
        <v>13.964846787991911</v>
      </c>
      <c r="H12" s="113">
        <f t="shared" si="1"/>
        <v>59.374708352776487</v>
      </c>
      <c r="I12" s="113">
        <f t="shared" si="2"/>
        <v>26.651112148079015</v>
      </c>
      <c r="J12" s="115">
        <f t="shared" si="3"/>
        <v>23.519857487163364</v>
      </c>
      <c r="K12" s="115">
        <f t="shared" si="4"/>
        <v>44.88630409724405</v>
      </c>
      <c r="L12" s="115">
        <f t="shared" si="5"/>
        <v>68.406161584407414</v>
      </c>
      <c r="M12" s="116">
        <f t="shared" si="6"/>
        <v>190.84428603252394</v>
      </c>
    </row>
    <row r="13" spans="1:13" s="11" customFormat="1" ht="18.75" customHeight="1">
      <c r="A13" s="40">
        <v>22</v>
      </c>
      <c r="B13" s="111">
        <v>11054</v>
      </c>
      <c r="C13" s="112">
        <v>29801</v>
      </c>
      <c r="D13" s="112">
        <v>3720</v>
      </c>
      <c r="E13" s="112">
        <v>16906</v>
      </c>
      <c r="F13" s="112">
        <v>9120</v>
      </c>
      <c r="G13" s="113">
        <f t="shared" si="0"/>
        <v>12.482802590517096</v>
      </c>
      <c r="H13" s="113">
        <f t="shared" si="1"/>
        <v>56.729639944968291</v>
      </c>
      <c r="I13" s="113">
        <f t="shared" si="2"/>
        <v>30.602999899332239</v>
      </c>
      <c r="J13" s="115">
        <f t="shared" si="3"/>
        <v>22.004022240624629</v>
      </c>
      <c r="K13" s="115">
        <f t="shared" si="4"/>
        <v>53.945344847982966</v>
      </c>
      <c r="L13" s="115">
        <f t="shared" si="5"/>
        <v>75.949367088607602</v>
      </c>
      <c r="M13" s="116">
        <f t="shared" si="6"/>
        <v>245.16129032258064</v>
      </c>
    </row>
    <row r="14" spans="1:13" s="11" customFormat="1" ht="18.75" customHeight="1">
      <c r="A14" s="79">
        <v>27</v>
      </c>
      <c r="B14" s="111">
        <v>10826</v>
      </c>
      <c r="C14" s="112">
        <v>28041</v>
      </c>
      <c r="D14" s="112">
        <v>3030</v>
      </c>
      <c r="E14" s="112">
        <v>14900</v>
      </c>
      <c r="F14" s="112">
        <v>9766</v>
      </c>
      <c r="G14" s="113">
        <v>10.80560607681609</v>
      </c>
      <c r="H14" s="113">
        <v>53.136478727577476</v>
      </c>
      <c r="I14" s="113">
        <v>34.827573909632328</v>
      </c>
      <c r="J14" s="115">
        <v>20.335570469798657</v>
      </c>
      <c r="K14" s="115">
        <v>65.543624161073822</v>
      </c>
      <c r="L14" s="115">
        <v>85.879194630872476</v>
      </c>
      <c r="M14" s="116">
        <v>322.31023102310229</v>
      </c>
    </row>
    <row r="15" spans="1:13" s="11" customFormat="1" ht="18.75" customHeight="1" thickBot="1">
      <c r="A15" s="92" t="s">
        <v>43</v>
      </c>
      <c r="B15" s="119">
        <v>10739</v>
      </c>
      <c r="C15" s="120">
        <v>26029</v>
      </c>
      <c r="D15" s="120">
        <v>2460</v>
      </c>
      <c r="E15" s="120">
        <v>13174</v>
      </c>
      <c r="F15" s="120">
        <v>9891</v>
      </c>
      <c r="G15" s="121">
        <f>IFERROR(D15/C15*100,"")</f>
        <v>9.4509969649237391</v>
      </c>
      <c r="H15" s="121">
        <f>IFERROR(E15/C15*100,"")</f>
        <v>50.612778055246075</v>
      </c>
      <c r="I15" s="121">
        <f>IFERROR(F15/C15*100,"")</f>
        <v>37.999923162626303</v>
      </c>
      <c r="J15" s="122">
        <f>IFERROR(D15/E15*100,"")</f>
        <v>18.673144071656292</v>
      </c>
      <c r="K15" s="122">
        <f>IFERROR(F15/E15*100,"")</f>
        <v>75.07970244420828</v>
      </c>
      <c r="L15" s="122">
        <f>IFERROR((D15+F15)/E15*100,"")</f>
        <v>93.75284651586459</v>
      </c>
      <c r="M15" s="123">
        <f>IFERROR(F15/D15*100,"")</f>
        <v>402.07317073170731</v>
      </c>
    </row>
    <row r="16" spans="1:13" s="11" customFormat="1" ht="18.75" customHeight="1">
      <c r="A16" s="11" t="s">
        <v>193</v>
      </c>
      <c r="B16" s="124"/>
      <c r="D16" s="125"/>
      <c r="E16" s="125"/>
      <c r="F16" s="125"/>
      <c r="G16" s="126"/>
      <c r="H16" s="127"/>
      <c r="I16" s="126"/>
      <c r="J16" s="93"/>
      <c r="K16" s="128"/>
      <c r="L16" s="128"/>
      <c r="M16" s="93"/>
    </row>
    <row r="17" spans="1:9" ht="18.75" customHeight="1">
      <c r="A17" s="11" t="s">
        <v>194</v>
      </c>
      <c r="C17" s="11"/>
    </row>
    <row r="18" spans="1:9" ht="18.75" customHeight="1">
      <c r="A18" s="11" t="s">
        <v>195</v>
      </c>
      <c r="C18" s="11"/>
    </row>
    <row r="19" spans="1:9" ht="18.75" customHeight="1">
      <c r="A19" s="11" t="s">
        <v>196</v>
      </c>
      <c r="C19" s="11"/>
    </row>
    <row r="20" spans="1:9" ht="18.75" customHeight="1">
      <c r="A20" s="11" t="s">
        <v>197</v>
      </c>
      <c r="C20" s="11"/>
    </row>
    <row r="21" spans="1:9" ht="18.75" customHeight="1">
      <c r="A21" s="11" t="s">
        <v>198</v>
      </c>
      <c r="C21" s="11"/>
    </row>
    <row r="22" spans="1:9" ht="18.75" customHeight="1">
      <c r="D22" s="129"/>
    </row>
    <row r="27" spans="1:9" ht="18.75" customHeight="1">
      <c r="I27" s="129"/>
    </row>
    <row r="29" spans="1:9" ht="18.75" customHeight="1">
      <c r="C29" s="129"/>
    </row>
  </sheetData>
  <mergeCells count="10">
    <mergeCell ref="G2:I2"/>
    <mergeCell ref="J2:J4"/>
    <mergeCell ref="K2:K4"/>
    <mergeCell ref="L2:L4"/>
    <mergeCell ref="M2:M4"/>
    <mergeCell ref="F2:F4"/>
    <mergeCell ref="A2:A4"/>
    <mergeCell ref="C2:C4"/>
    <mergeCell ref="D2:D4"/>
    <mergeCell ref="E2:E4"/>
  </mergeCells>
  <phoneticPr fontId="4"/>
  <printOptions horizontalCentered="1"/>
  <pageMargins left="0.70866141732283472" right="0.70866141732283472" top="0.74803149606299213" bottom="0.74803149606299213" header="0.31496062992125984" footer="0.31496062992125984"/>
  <pageSetup paperSize="9" fitToHeight="0" orientation="landscape"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7BFAF-71B2-4BAF-901C-704409EF36AC}">
  <sheetPr codeName="Sheet75">
    <pageSetUpPr fitToPage="1"/>
  </sheetPr>
  <dimension ref="A1:Q40"/>
  <sheetViews>
    <sheetView showGridLines="0" workbookViewId="0"/>
  </sheetViews>
  <sheetFormatPr defaultRowHeight="13.2"/>
  <cols>
    <col min="1" max="1" width="34.09765625" style="2" customWidth="1"/>
    <col min="2" max="17" width="11.3984375" style="2" customWidth="1"/>
    <col min="18" max="269" width="9" style="2"/>
    <col min="270" max="270" width="34.09765625" style="2" customWidth="1"/>
    <col min="271" max="272" width="13.59765625" style="2" customWidth="1"/>
    <col min="273" max="525" width="9" style="2"/>
    <col min="526" max="526" width="34.09765625" style="2" customWidth="1"/>
    <col min="527" max="528" width="13.59765625" style="2" customWidth="1"/>
    <col min="529" max="781" width="9" style="2"/>
    <col min="782" max="782" width="34.09765625" style="2" customWidth="1"/>
    <col min="783" max="784" width="13.59765625" style="2" customWidth="1"/>
    <col min="785" max="1037" width="9" style="2"/>
    <col min="1038" max="1038" width="34.09765625" style="2" customWidth="1"/>
    <col min="1039" max="1040" width="13.59765625" style="2" customWidth="1"/>
    <col min="1041" max="1293" width="9" style="2"/>
    <col min="1294" max="1294" width="34.09765625" style="2" customWidth="1"/>
    <col min="1295" max="1296" width="13.59765625" style="2" customWidth="1"/>
    <col min="1297" max="1549" width="9" style="2"/>
    <col min="1550" max="1550" width="34.09765625" style="2" customWidth="1"/>
    <col min="1551" max="1552" width="13.59765625" style="2" customWidth="1"/>
    <col min="1553" max="1805" width="9" style="2"/>
    <col min="1806" max="1806" width="34.09765625" style="2" customWidth="1"/>
    <col min="1807" max="1808" width="13.59765625" style="2" customWidth="1"/>
    <col min="1809" max="2061" width="9" style="2"/>
    <col min="2062" max="2062" width="34.09765625" style="2" customWidth="1"/>
    <col min="2063" max="2064" width="13.59765625" style="2" customWidth="1"/>
    <col min="2065" max="2317" width="9" style="2"/>
    <col min="2318" max="2318" width="34.09765625" style="2" customWidth="1"/>
    <col min="2319" max="2320" width="13.59765625" style="2" customWidth="1"/>
    <col min="2321" max="2573" width="9" style="2"/>
    <col min="2574" max="2574" width="34.09765625" style="2" customWidth="1"/>
    <col min="2575" max="2576" width="13.59765625" style="2" customWidth="1"/>
    <col min="2577" max="2829" width="9" style="2"/>
    <col min="2830" max="2830" width="34.09765625" style="2" customWidth="1"/>
    <col min="2831" max="2832" width="13.59765625" style="2" customWidth="1"/>
    <col min="2833" max="3085" width="9" style="2"/>
    <col min="3086" max="3086" width="34.09765625" style="2" customWidth="1"/>
    <col min="3087" max="3088" width="13.59765625" style="2" customWidth="1"/>
    <col min="3089" max="3341" width="9" style="2"/>
    <col min="3342" max="3342" width="34.09765625" style="2" customWidth="1"/>
    <col min="3343" max="3344" width="13.59765625" style="2" customWidth="1"/>
    <col min="3345" max="3597" width="9" style="2"/>
    <col min="3598" max="3598" width="34.09765625" style="2" customWidth="1"/>
    <col min="3599" max="3600" width="13.59765625" style="2" customWidth="1"/>
    <col min="3601" max="3853" width="9" style="2"/>
    <col min="3854" max="3854" width="34.09765625" style="2" customWidth="1"/>
    <col min="3855" max="3856" width="13.59765625" style="2" customWidth="1"/>
    <col min="3857" max="4109" width="9" style="2"/>
    <col min="4110" max="4110" width="34.09765625" style="2" customWidth="1"/>
    <col min="4111" max="4112" width="13.59765625" style="2" customWidth="1"/>
    <col min="4113" max="4365" width="9" style="2"/>
    <col min="4366" max="4366" width="34.09765625" style="2" customWidth="1"/>
    <col min="4367" max="4368" width="13.59765625" style="2" customWidth="1"/>
    <col min="4369" max="4621" width="9" style="2"/>
    <col min="4622" max="4622" width="34.09765625" style="2" customWidth="1"/>
    <col min="4623" max="4624" width="13.59765625" style="2" customWidth="1"/>
    <col min="4625" max="4877" width="9" style="2"/>
    <col min="4878" max="4878" width="34.09765625" style="2" customWidth="1"/>
    <col min="4879" max="4880" width="13.59765625" style="2" customWidth="1"/>
    <col min="4881" max="5133" width="9" style="2"/>
    <col min="5134" max="5134" width="34.09765625" style="2" customWidth="1"/>
    <col min="5135" max="5136" width="13.59765625" style="2" customWidth="1"/>
    <col min="5137" max="5389" width="9" style="2"/>
    <col min="5390" max="5390" width="34.09765625" style="2" customWidth="1"/>
    <col min="5391" max="5392" width="13.59765625" style="2" customWidth="1"/>
    <col min="5393" max="5645" width="9" style="2"/>
    <col min="5646" max="5646" width="34.09765625" style="2" customWidth="1"/>
    <col min="5647" max="5648" width="13.59765625" style="2" customWidth="1"/>
    <col min="5649" max="5901" width="9" style="2"/>
    <col min="5902" max="5902" width="34.09765625" style="2" customWidth="1"/>
    <col min="5903" max="5904" width="13.59765625" style="2" customWidth="1"/>
    <col min="5905" max="6157" width="9" style="2"/>
    <col min="6158" max="6158" width="34.09765625" style="2" customWidth="1"/>
    <col min="6159" max="6160" width="13.59765625" style="2" customWidth="1"/>
    <col min="6161" max="6413" width="9" style="2"/>
    <col min="6414" max="6414" width="34.09765625" style="2" customWidth="1"/>
    <col min="6415" max="6416" width="13.59765625" style="2" customWidth="1"/>
    <col min="6417" max="6669" width="9" style="2"/>
    <col min="6670" max="6670" width="34.09765625" style="2" customWidth="1"/>
    <col min="6671" max="6672" width="13.59765625" style="2" customWidth="1"/>
    <col min="6673" max="6925" width="9" style="2"/>
    <col min="6926" max="6926" width="34.09765625" style="2" customWidth="1"/>
    <col min="6927" max="6928" width="13.59765625" style="2" customWidth="1"/>
    <col min="6929" max="7181" width="9" style="2"/>
    <col min="7182" max="7182" width="34.09765625" style="2" customWidth="1"/>
    <col min="7183" max="7184" width="13.59765625" style="2" customWidth="1"/>
    <col min="7185" max="7437" width="9" style="2"/>
    <col min="7438" max="7438" width="34.09765625" style="2" customWidth="1"/>
    <col min="7439" max="7440" width="13.59765625" style="2" customWidth="1"/>
    <col min="7441" max="7693" width="9" style="2"/>
    <col min="7694" max="7694" width="34.09765625" style="2" customWidth="1"/>
    <col min="7695" max="7696" width="13.59765625" style="2" customWidth="1"/>
    <col min="7697" max="7949" width="9" style="2"/>
    <col min="7950" max="7950" width="34.09765625" style="2" customWidth="1"/>
    <col min="7951" max="7952" width="13.59765625" style="2" customWidth="1"/>
    <col min="7953" max="8205" width="9" style="2"/>
    <col min="8206" max="8206" width="34.09765625" style="2" customWidth="1"/>
    <col min="8207" max="8208" width="13.59765625" style="2" customWidth="1"/>
    <col min="8209" max="8461" width="9" style="2"/>
    <col min="8462" max="8462" width="34.09765625" style="2" customWidth="1"/>
    <col min="8463" max="8464" width="13.59765625" style="2" customWidth="1"/>
    <col min="8465" max="8717" width="9" style="2"/>
    <col min="8718" max="8718" width="34.09765625" style="2" customWidth="1"/>
    <col min="8719" max="8720" width="13.59765625" style="2" customWidth="1"/>
    <col min="8721" max="8973" width="9" style="2"/>
    <col min="8974" max="8974" width="34.09765625" style="2" customWidth="1"/>
    <col min="8975" max="8976" width="13.59765625" style="2" customWidth="1"/>
    <col min="8977" max="9229" width="9" style="2"/>
    <col min="9230" max="9230" width="34.09765625" style="2" customWidth="1"/>
    <col min="9231" max="9232" width="13.59765625" style="2" customWidth="1"/>
    <col min="9233" max="9485" width="9" style="2"/>
    <col min="9486" max="9486" width="34.09765625" style="2" customWidth="1"/>
    <col min="9487" max="9488" width="13.59765625" style="2" customWidth="1"/>
    <col min="9489" max="9741" width="9" style="2"/>
    <col min="9742" max="9742" width="34.09765625" style="2" customWidth="1"/>
    <col min="9743" max="9744" width="13.59765625" style="2" customWidth="1"/>
    <col min="9745" max="9997" width="9" style="2"/>
    <col min="9998" max="9998" width="34.09765625" style="2" customWidth="1"/>
    <col min="9999" max="10000" width="13.59765625" style="2" customWidth="1"/>
    <col min="10001" max="10253" width="9" style="2"/>
    <col min="10254" max="10254" width="34.09765625" style="2" customWidth="1"/>
    <col min="10255" max="10256" width="13.59765625" style="2" customWidth="1"/>
    <col min="10257" max="10509" width="9" style="2"/>
    <col min="10510" max="10510" width="34.09765625" style="2" customWidth="1"/>
    <col min="10511" max="10512" width="13.59765625" style="2" customWidth="1"/>
    <col min="10513" max="10765" width="9" style="2"/>
    <col min="10766" max="10766" width="34.09765625" style="2" customWidth="1"/>
    <col min="10767" max="10768" width="13.59765625" style="2" customWidth="1"/>
    <col min="10769" max="11021" width="9" style="2"/>
    <col min="11022" max="11022" width="34.09765625" style="2" customWidth="1"/>
    <col min="11023" max="11024" width="13.59765625" style="2" customWidth="1"/>
    <col min="11025" max="11277" width="9" style="2"/>
    <col min="11278" max="11278" width="34.09765625" style="2" customWidth="1"/>
    <col min="11279" max="11280" width="13.59765625" style="2" customWidth="1"/>
    <col min="11281" max="11533" width="9" style="2"/>
    <col min="11534" max="11534" width="34.09765625" style="2" customWidth="1"/>
    <col min="11535" max="11536" width="13.59765625" style="2" customWidth="1"/>
    <col min="11537" max="11789" width="9" style="2"/>
    <col min="11790" max="11790" width="34.09765625" style="2" customWidth="1"/>
    <col min="11791" max="11792" width="13.59765625" style="2" customWidth="1"/>
    <col min="11793" max="12045" width="9" style="2"/>
    <col min="12046" max="12046" width="34.09765625" style="2" customWidth="1"/>
    <col min="12047" max="12048" width="13.59765625" style="2" customWidth="1"/>
    <col min="12049" max="12301" width="9" style="2"/>
    <col min="12302" max="12302" width="34.09765625" style="2" customWidth="1"/>
    <col min="12303" max="12304" width="13.59765625" style="2" customWidth="1"/>
    <col min="12305" max="12557" width="9" style="2"/>
    <col min="12558" max="12558" width="34.09765625" style="2" customWidth="1"/>
    <col min="12559" max="12560" width="13.59765625" style="2" customWidth="1"/>
    <col min="12561" max="12813" width="9" style="2"/>
    <col min="12814" max="12814" width="34.09765625" style="2" customWidth="1"/>
    <col min="12815" max="12816" width="13.59765625" style="2" customWidth="1"/>
    <col min="12817" max="13069" width="9" style="2"/>
    <col min="13070" max="13070" width="34.09765625" style="2" customWidth="1"/>
    <col min="13071" max="13072" width="13.59765625" style="2" customWidth="1"/>
    <col min="13073" max="13325" width="9" style="2"/>
    <col min="13326" max="13326" width="34.09765625" style="2" customWidth="1"/>
    <col min="13327" max="13328" width="13.59765625" style="2" customWidth="1"/>
    <col min="13329" max="13581" width="9" style="2"/>
    <col min="13582" max="13582" width="34.09765625" style="2" customWidth="1"/>
    <col min="13583" max="13584" width="13.59765625" style="2" customWidth="1"/>
    <col min="13585" max="13837" width="9" style="2"/>
    <col min="13838" max="13838" width="34.09765625" style="2" customWidth="1"/>
    <col min="13839" max="13840" width="13.59765625" style="2" customWidth="1"/>
    <col min="13841" max="14093" width="9" style="2"/>
    <col min="14094" max="14094" width="34.09765625" style="2" customWidth="1"/>
    <col min="14095" max="14096" width="13.59765625" style="2" customWidth="1"/>
    <col min="14097" max="14349" width="9" style="2"/>
    <col min="14350" max="14350" width="34.09765625" style="2" customWidth="1"/>
    <col min="14351" max="14352" width="13.59765625" style="2" customWidth="1"/>
    <col min="14353" max="14605" width="9" style="2"/>
    <col min="14606" max="14606" width="34.09765625" style="2" customWidth="1"/>
    <col min="14607" max="14608" width="13.59765625" style="2" customWidth="1"/>
    <col min="14609" max="14861" width="9" style="2"/>
    <col min="14862" max="14862" width="34.09765625" style="2" customWidth="1"/>
    <col min="14863" max="14864" width="13.59765625" style="2" customWidth="1"/>
    <col min="14865" max="15117" width="9" style="2"/>
    <col min="15118" max="15118" width="34.09765625" style="2" customWidth="1"/>
    <col min="15119" max="15120" width="13.59765625" style="2" customWidth="1"/>
    <col min="15121" max="15373" width="9" style="2"/>
    <col min="15374" max="15374" width="34.09765625" style="2" customWidth="1"/>
    <col min="15375" max="15376" width="13.59765625" style="2" customWidth="1"/>
    <col min="15377" max="15629" width="9" style="2"/>
    <col min="15630" max="15630" width="34.09765625" style="2" customWidth="1"/>
    <col min="15631" max="15632" width="13.59765625" style="2" customWidth="1"/>
    <col min="15633" max="15885" width="9" style="2"/>
    <col min="15886" max="15886" width="34.09765625" style="2" customWidth="1"/>
    <col min="15887" max="15888" width="13.59765625" style="2" customWidth="1"/>
    <col min="15889" max="16141" width="9" style="2"/>
    <col min="16142" max="16142" width="34.09765625" style="2" customWidth="1"/>
    <col min="16143" max="16144" width="13.59765625" style="2" customWidth="1"/>
    <col min="16145" max="16384" width="9" style="2"/>
  </cols>
  <sheetData>
    <row r="1" spans="1:17" ht="30" customHeight="1" thickBot="1">
      <c r="A1" s="259" t="s">
        <v>1863</v>
      </c>
      <c r="P1" s="260" t="s">
        <v>1864</v>
      </c>
      <c r="Q1" s="549"/>
    </row>
    <row r="2" spans="1:17" s="11" customFormat="1" ht="22.5" customHeight="1">
      <c r="A2" s="960" t="s">
        <v>24</v>
      </c>
      <c r="B2" s="961" t="s">
        <v>1865</v>
      </c>
      <c r="C2" s="961" t="s">
        <v>1866</v>
      </c>
      <c r="D2" s="961" t="s">
        <v>1867</v>
      </c>
      <c r="E2" s="961" t="s">
        <v>1868</v>
      </c>
      <c r="F2" s="961" t="s">
        <v>1869</v>
      </c>
      <c r="G2" s="961" t="s">
        <v>1870</v>
      </c>
      <c r="H2" s="961" t="s">
        <v>1871</v>
      </c>
      <c r="I2" s="961" t="s">
        <v>1872</v>
      </c>
      <c r="J2" s="961" t="s">
        <v>1873</v>
      </c>
      <c r="K2" s="961" t="s">
        <v>1874</v>
      </c>
      <c r="L2" s="961" t="s">
        <v>40</v>
      </c>
      <c r="M2" s="961" t="s">
        <v>41</v>
      </c>
      <c r="N2" s="961" t="s">
        <v>1875</v>
      </c>
      <c r="O2" s="961" t="s">
        <v>43</v>
      </c>
      <c r="P2" s="961" t="s">
        <v>44</v>
      </c>
      <c r="Q2" s="961"/>
    </row>
    <row r="3" spans="1:17" s="11" customFormat="1" ht="18" customHeight="1">
      <c r="A3" s="218" t="s">
        <v>1876</v>
      </c>
      <c r="B3" s="962">
        <v>60982.590177392442</v>
      </c>
      <c r="C3" s="962">
        <v>59765.152074188329</v>
      </c>
      <c r="D3" s="962">
        <v>55137.329143923984</v>
      </c>
      <c r="E3" s="962">
        <v>54714.721767579831</v>
      </c>
      <c r="F3" s="962">
        <v>53916.896855395207</v>
      </c>
      <c r="G3" s="962">
        <v>53660.042017570435</v>
      </c>
      <c r="H3" s="962">
        <v>53037.891225527324</v>
      </c>
      <c r="I3" s="962">
        <v>53574.693018747086</v>
      </c>
      <c r="J3" s="962">
        <v>56521.552872570726</v>
      </c>
      <c r="K3" s="962">
        <v>56893.349487247571</v>
      </c>
      <c r="L3" s="962">
        <v>57539.497920756286</v>
      </c>
      <c r="M3" s="962">
        <v>58773.085693885972</v>
      </c>
      <c r="N3" s="962">
        <v>54580.880644537516</v>
      </c>
      <c r="O3" s="962">
        <v>51353.891524643688</v>
      </c>
      <c r="P3" s="962">
        <v>50149.091084861524</v>
      </c>
      <c r="Q3" s="962"/>
    </row>
    <row r="4" spans="1:17" s="11" customFormat="1" ht="18" customHeight="1">
      <c r="A4" s="97" t="s">
        <v>1877</v>
      </c>
      <c r="B4" s="963">
        <v>53116.935174385668</v>
      </c>
      <c r="C4" s="963">
        <v>52116.266345494849</v>
      </c>
      <c r="D4" s="963">
        <v>47952.850226585935</v>
      </c>
      <c r="E4" s="963">
        <v>47478.846959096947</v>
      </c>
      <c r="F4" s="963">
        <v>46598.444411972065</v>
      </c>
      <c r="G4" s="963">
        <v>46350.447904284461</v>
      </c>
      <c r="H4" s="963">
        <v>45473.127964884414</v>
      </c>
      <c r="I4" s="963">
        <v>45907.61180369975</v>
      </c>
      <c r="J4" s="963">
        <v>48863.927903095901</v>
      </c>
      <c r="K4" s="963">
        <v>49311.212143975084</v>
      </c>
      <c r="L4" s="963">
        <v>49833.052268148698</v>
      </c>
      <c r="M4" s="963">
        <v>50988.892569438729</v>
      </c>
      <c r="N4" s="963">
        <v>47188.169021217873</v>
      </c>
      <c r="O4" s="963">
        <v>44222.133714145384</v>
      </c>
      <c r="P4" s="963">
        <v>43025.864688562273</v>
      </c>
      <c r="Q4" s="963"/>
    </row>
    <row r="5" spans="1:17" s="11" customFormat="1" ht="18" customHeight="1">
      <c r="A5" s="97" t="s">
        <v>1878</v>
      </c>
      <c r="B5" s="963">
        <v>7865.6550030067774</v>
      </c>
      <c r="C5" s="963">
        <v>7648.8857286934808</v>
      </c>
      <c r="D5" s="963">
        <v>7184.4789173380486</v>
      </c>
      <c r="E5" s="963">
        <v>7235.8748084828858</v>
      </c>
      <c r="F5" s="963">
        <v>7318.4524434231434</v>
      </c>
      <c r="G5" s="963">
        <v>7309.5941132859753</v>
      </c>
      <c r="H5" s="963">
        <v>7564.7632606429124</v>
      </c>
      <c r="I5" s="963">
        <v>7667.081215047333</v>
      </c>
      <c r="J5" s="963">
        <v>7657.6249694748294</v>
      </c>
      <c r="K5" s="963">
        <v>7582.1373432724859</v>
      </c>
      <c r="L5" s="963">
        <v>7706.4456526075846</v>
      </c>
      <c r="M5" s="963">
        <v>7784.1931244472453</v>
      </c>
      <c r="N5" s="963">
        <v>7392.7116233196411</v>
      </c>
      <c r="O5" s="963">
        <v>7131.7578104983068</v>
      </c>
      <c r="P5" s="963">
        <v>7123.226396299252</v>
      </c>
      <c r="Q5" s="963"/>
    </row>
    <row r="6" spans="1:17" s="11" customFormat="1" ht="18" customHeight="1">
      <c r="A6" s="97" t="s">
        <v>1879</v>
      </c>
      <c r="B6" s="963">
        <v>6133.5327228994101</v>
      </c>
      <c r="C6" s="963">
        <v>6071.29769483578</v>
      </c>
      <c r="D6" s="963">
        <v>5594.0266363312248</v>
      </c>
      <c r="E6" s="963">
        <v>5773.1792980050568</v>
      </c>
      <c r="F6" s="963">
        <v>6009.2351376458146</v>
      </c>
      <c r="G6" s="963">
        <v>5950.7520721453784</v>
      </c>
      <c r="H6" s="963">
        <v>6002.126094862062</v>
      </c>
      <c r="I6" s="963">
        <v>6142.3737803056301</v>
      </c>
      <c r="J6" s="963">
        <v>7472.0408064611393</v>
      </c>
      <c r="K6" s="963">
        <v>6946.2557069946579</v>
      </c>
      <c r="L6" s="963">
        <v>7070.7575449066489</v>
      </c>
      <c r="M6" s="963">
        <v>7135.044666684259</v>
      </c>
      <c r="N6" s="963">
        <v>6772.9214887435328</v>
      </c>
      <c r="O6" s="963">
        <v>6608.228904910754</v>
      </c>
      <c r="P6" s="963">
        <v>6690.8136685316058</v>
      </c>
      <c r="Q6" s="963"/>
    </row>
    <row r="7" spans="1:17" s="11" customFormat="1" ht="18" customHeight="1">
      <c r="A7" s="213" t="s">
        <v>1880</v>
      </c>
      <c r="B7" s="964">
        <v>1732.122280107367</v>
      </c>
      <c r="C7" s="964">
        <v>1577.588033857701</v>
      </c>
      <c r="D7" s="964">
        <v>1590.4522810068238</v>
      </c>
      <c r="E7" s="964">
        <v>1462.695510477829</v>
      </c>
      <c r="F7" s="964">
        <v>1309.2173057773286</v>
      </c>
      <c r="G7" s="964">
        <v>1358.8420411405973</v>
      </c>
      <c r="H7" s="964">
        <v>1562.63716578085</v>
      </c>
      <c r="I7" s="964">
        <v>1524.7074347417026</v>
      </c>
      <c r="J7" s="964">
        <v>185.58416301368976</v>
      </c>
      <c r="K7" s="964">
        <v>635.88163627782808</v>
      </c>
      <c r="L7" s="964">
        <v>635.68810770093614</v>
      </c>
      <c r="M7" s="964">
        <v>649.1484577629866</v>
      </c>
      <c r="N7" s="964">
        <v>619.79013457610836</v>
      </c>
      <c r="O7" s="964">
        <v>523.52890558755303</v>
      </c>
      <c r="P7" s="964">
        <v>432.41272776764635</v>
      </c>
      <c r="Q7" s="964"/>
    </row>
    <row r="8" spans="1:17" s="11" customFormat="1" ht="18" customHeight="1">
      <c r="A8" s="218" t="s">
        <v>1881</v>
      </c>
      <c r="B8" s="962">
        <v>5046.6782989355061</v>
      </c>
      <c r="C8" s="962">
        <v>4152.4535852637327</v>
      </c>
      <c r="D8" s="962">
        <v>4062.10564748248</v>
      </c>
      <c r="E8" s="962">
        <v>3718.3086718336426</v>
      </c>
      <c r="F8" s="962">
        <v>3970.7899534964599</v>
      </c>
      <c r="G8" s="962">
        <v>3763.474466052257</v>
      </c>
      <c r="H8" s="962">
        <v>3891.234095331035</v>
      </c>
      <c r="I8" s="962">
        <v>5950.9797603881025</v>
      </c>
      <c r="J8" s="962">
        <v>4657.6752882288183</v>
      </c>
      <c r="K8" s="962">
        <v>4293.4616277349751</v>
      </c>
      <c r="L8" s="962">
        <v>4309.9685531496216</v>
      </c>
      <c r="M8" s="962">
        <v>4378.0386706900317</v>
      </c>
      <c r="N8" s="962">
        <v>4899.9180597504501</v>
      </c>
      <c r="O8" s="962">
        <v>4951.4195412864628</v>
      </c>
      <c r="P8" s="962">
        <v>5469.4777597442207</v>
      </c>
      <c r="Q8" s="962"/>
    </row>
    <row r="9" spans="1:17" s="11" customFormat="1" ht="18" customHeight="1">
      <c r="A9" s="97" t="s">
        <v>1882</v>
      </c>
      <c r="B9" s="963">
        <v>6404.1290105653779</v>
      </c>
      <c r="C9" s="963">
        <v>5427.8756711541391</v>
      </c>
      <c r="D9" s="963">
        <v>5170.4927498050874</v>
      </c>
      <c r="E9" s="963">
        <v>4776.6146505207635</v>
      </c>
      <c r="F9" s="963">
        <v>5047.4447850562001</v>
      </c>
      <c r="G9" s="963">
        <v>4761.3087955728006</v>
      </c>
      <c r="H9" s="963">
        <v>4871.8681443878986</v>
      </c>
      <c r="I9" s="963">
        <v>6944.5136220089662</v>
      </c>
      <c r="J9" s="963">
        <v>6303.3270468474111</v>
      </c>
      <c r="K9" s="963">
        <v>5883.1721732786618</v>
      </c>
      <c r="L9" s="963">
        <v>5754.3856942396615</v>
      </c>
      <c r="M9" s="963">
        <v>5951.9162544001147</v>
      </c>
      <c r="N9" s="963">
        <v>5287.7519696321724</v>
      </c>
      <c r="O9" s="963">
        <v>5299.722335647748</v>
      </c>
      <c r="P9" s="963">
        <v>5764.3468280103398</v>
      </c>
      <c r="Q9" s="963"/>
    </row>
    <row r="10" spans="1:17" s="11" customFormat="1" ht="18" customHeight="1">
      <c r="A10" s="97" t="s">
        <v>1883</v>
      </c>
      <c r="B10" s="963">
        <v>1357.4507116298721</v>
      </c>
      <c r="C10" s="963">
        <v>1275.4220858904068</v>
      </c>
      <c r="D10" s="963">
        <v>1108.3871023226075</v>
      </c>
      <c r="E10" s="963">
        <v>1058.3059786871211</v>
      </c>
      <c r="F10" s="963">
        <v>1076.6548315597402</v>
      </c>
      <c r="G10" s="963">
        <v>997.83432952054375</v>
      </c>
      <c r="H10" s="963">
        <v>980.63404905686389</v>
      </c>
      <c r="I10" s="963">
        <v>993.53386162086395</v>
      </c>
      <c r="J10" s="963">
        <v>1645.6517586185926</v>
      </c>
      <c r="K10" s="963">
        <v>1589.7105455436867</v>
      </c>
      <c r="L10" s="963">
        <v>1444.4171410900401</v>
      </c>
      <c r="M10" s="963">
        <v>1573.8775837100827</v>
      </c>
      <c r="N10" s="963">
        <v>387.8339098817226</v>
      </c>
      <c r="O10" s="963">
        <v>348.30279436128529</v>
      </c>
      <c r="P10" s="963">
        <v>294.86906826611943</v>
      </c>
      <c r="Q10" s="963"/>
    </row>
    <row r="11" spans="1:17" s="11" customFormat="1" ht="18" customHeight="1">
      <c r="A11" s="97" t="s">
        <v>1884</v>
      </c>
      <c r="B11" s="965">
        <v>-116.11106337232798</v>
      </c>
      <c r="C11" s="965">
        <v>-282.70525246188686</v>
      </c>
      <c r="D11" s="965">
        <v>-317.36328138173394</v>
      </c>
      <c r="E11" s="965">
        <v>-388.73409857186584</v>
      </c>
      <c r="F11" s="965">
        <v>-424.43293383985645</v>
      </c>
      <c r="G11" s="965">
        <v>-412.37184382527738</v>
      </c>
      <c r="H11" s="965">
        <v>-303.76497455105982</v>
      </c>
      <c r="I11" s="965">
        <v>-254.9050233618442</v>
      </c>
      <c r="J11" s="965">
        <v>-305.66634259057969</v>
      </c>
      <c r="K11" s="965">
        <v>-368.21514734612015</v>
      </c>
      <c r="L11" s="965">
        <v>-68.964508161622462</v>
      </c>
      <c r="M11" s="965">
        <v>-7.6415830957901107</v>
      </c>
      <c r="N11" s="963">
        <v>256.2869090141125</v>
      </c>
      <c r="O11" s="963">
        <v>249.1597705441589</v>
      </c>
      <c r="P11" s="965">
        <v>256.76927278716744</v>
      </c>
      <c r="Q11" s="965"/>
    </row>
    <row r="12" spans="1:17" s="11" customFormat="1" ht="18" customHeight="1">
      <c r="A12" s="97" t="s">
        <v>1882</v>
      </c>
      <c r="B12" s="963">
        <v>918.97147235886825</v>
      </c>
      <c r="C12" s="963">
        <v>705.80564070324704</v>
      </c>
      <c r="D12" s="963">
        <v>609.13259989171775</v>
      </c>
      <c r="E12" s="963">
        <v>543.99336781415684</v>
      </c>
      <c r="F12" s="963">
        <v>527.00708399263806</v>
      </c>
      <c r="G12" s="963">
        <v>506.9386128466453</v>
      </c>
      <c r="H12" s="963">
        <v>583.65549840351127</v>
      </c>
      <c r="I12" s="963">
        <v>620.57989763298463</v>
      </c>
      <c r="J12" s="963">
        <v>1248.4543527684209</v>
      </c>
      <c r="K12" s="963">
        <v>1106.922851144865</v>
      </c>
      <c r="L12" s="963">
        <v>1274.7035722653407</v>
      </c>
      <c r="M12" s="963">
        <v>1483.5259116136979</v>
      </c>
      <c r="N12" s="963">
        <v>579.53587592098961</v>
      </c>
      <c r="O12" s="963">
        <v>528.06424157093215</v>
      </c>
      <c r="P12" s="963">
        <v>481.3382769724011</v>
      </c>
      <c r="Q12" s="963"/>
    </row>
    <row r="13" spans="1:17" s="11" customFormat="1" ht="18" customHeight="1">
      <c r="A13" s="97" t="s">
        <v>1883</v>
      </c>
      <c r="B13" s="963">
        <v>1035.0825357311962</v>
      </c>
      <c r="C13" s="963">
        <v>988.51089316513389</v>
      </c>
      <c r="D13" s="963">
        <v>926.49588127345169</v>
      </c>
      <c r="E13" s="963">
        <v>932.72746638602268</v>
      </c>
      <c r="F13" s="963">
        <v>951.4400178324945</v>
      </c>
      <c r="G13" s="963">
        <v>919.31045667192268</v>
      </c>
      <c r="H13" s="963">
        <v>887.4204729545711</v>
      </c>
      <c r="I13" s="963">
        <v>875.48492099482883</v>
      </c>
      <c r="J13" s="963">
        <v>1554.1206953590006</v>
      </c>
      <c r="K13" s="963">
        <v>1475.1379984909852</v>
      </c>
      <c r="L13" s="963">
        <v>1343.6680804269631</v>
      </c>
      <c r="M13" s="963">
        <v>1491.167494709488</v>
      </c>
      <c r="N13" s="963">
        <v>323.24896690687711</v>
      </c>
      <c r="O13" s="963">
        <v>278.90447102677325</v>
      </c>
      <c r="P13" s="963">
        <v>224.56900418523364</v>
      </c>
      <c r="Q13" s="963"/>
    </row>
    <row r="14" spans="1:17" s="11" customFormat="1" ht="18" customHeight="1">
      <c r="A14" s="97" t="s">
        <v>1885</v>
      </c>
      <c r="B14" s="963">
        <v>5058.3197473953032</v>
      </c>
      <c r="C14" s="963">
        <v>4341.5199826407179</v>
      </c>
      <c r="D14" s="963">
        <v>4275.1028242052371</v>
      </c>
      <c r="E14" s="963">
        <v>4002.061352350946</v>
      </c>
      <c r="F14" s="963">
        <v>4323.6291760876093</v>
      </c>
      <c r="G14" s="963">
        <v>4106.1410335606597</v>
      </c>
      <c r="H14" s="963">
        <v>4124.3893301775661</v>
      </c>
      <c r="I14" s="963">
        <v>6135.2368950077216</v>
      </c>
      <c r="J14" s="963">
        <v>4890.6157201927799</v>
      </c>
      <c r="K14" s="963">
        <v>4597.3764500459356</v>
      </c>
      <c r="L14" s="963">
        <v>4308.6000700854656</v>
      </c>
      <c r="M14" s="963">
        <v>4293.1264968469168</v>
      </c>
      <c r="N14" s="963">
        <v>4550.2003665196025</v>
      </c>
      <c r="O14" s="963">
        <v>4629.1508934411304</v>
      </c>
      <c r="P14" s="963">
        <v>5138.3646913229823</v>
      </c>
      <c r="Q14" s="963"/>
    </row>
    <row r="15" spans="1:17" s="11" customFormat="1" ht="18" customHeight="1">
      <c r="A15" s="97" t="s">
        <v>1886</v>
      </c>
      <c r="B15" s="963">
        <v>819.07699661222068</v>
      </c>
      <c r="C15" s="963">
        <v>692.82641125547866</v>
      </c>
      <c r="D15" s="963">
        <v>643.48683861080497</v>
      </c>
      <c r="E15" s="963">
        <v>569.8993202886212</v>
      </c>
      <c r="F15" s="963">
        <v>484.05131687125623</v>
      </c>
      <c r="G15" s="963">
        <v>400.81815322970277</v>
      </c>
      <c r="H15" s="963">
        <v>334.04896185819234</v>
      </c>
      <c r="I15" s="963">
        <v>2176.0609031038935</v>
      </c>
      <c r="J15" s="963">
        <v>784.97805817061862</v>
      </c>
      <c r="K15" s="963">
        <v>845.12514014725809</v>
      </c>
      <c r="L15" s="963">
        <v>755.23548995221961</v>
      </c>
      <c r="M15" s="963">
        <v>886.50785008149433</v>
      </c>
      <c r="N15" s="963">
        <v>413.54470904028079</v>
      </c>
      <c r="O15" s="963">
        <v>866.4636444823783</v>
      </c>
      <c r="P15" s="963">
        <v>821.64478192826914</v>
      </c>
      <c r="Q15" s="963"/>
    </row>
    <row r="16" spans="1:17" s="11" customFormat="1" ht="18" customHeight="1">
      <c r="A16" s="97" t="s">
        <v>1887</v>
      </c>
      <c r="B16" s="963">
        <v>1116.7986969415069</v>
      </c>
      <c r="C16" s="963">
        <v>951.8428025576618</v>
      </c>
      <c r="D16" s="963">
        <v>805.64281631673214</v>
      </c>
      <c r="E16" s="963">
        <v>679.98671999551971</v>
      </c>
      <c r="F16" s="963">
        <v>595.72470295865605</v>
      </c>
      <c r="G16" s="963">
        <v>470.91978358895409</v>
      </c>
      <c r="H16" s="963">
        <v>419.67439635925308</v>
      </c>
      <c r="I16" s="963">
        <v>2284.4008320312864</v>
      </c>
      <c r="J16" s="963">
        <v>863.66179407408902</v>
      </c>
      <c r="K16" s="963">
        <v>947.7917890120566</v>
      </c>
      <c r="L16" s="963">
        <v>844.86305730763149</v>
      </c>
      <c r="M16" s="963">
        <v>953.82385913969745</v>
      </c>
      <c r="N16" s="963">
        <v>466.89308208056195</v>
      </c>
      <c r="O16" s="963">
        <v>926.04533227604736</v>
      </c>
      <c r="P16" s="963">
        <v>883.60327224876539</v>
      </c>
      <c r="Q16" s="963"/>
    </row>
    <row r="17" spans="1:17" s="11" customFormat="1" ht="18" customHeight="1">
      <c r="A17" s="97" t="s">
        <v>1888</v>
      </c>
      <c r="B17" s="963">
        <v>297.72170032928619</v>
      </c>
      <c r="C17" s="963">
        <v>259.01639130218319</v>
      </c>
      <c r="D17" s="963">
        <v>162.15597770592717</v>
      </c>
      <c r="E17" s="963">
        <v>110.08739970689855</v>
      </c>
      <c r="F17" s="963">
        <v>111.67338608739982</v>
      </c>
      <c r="G17" s="963">
        <v>70.101630359251303</v>
      </c>
      <c r="H17" s="963">
        <v>85.625434501060738</v>
      </c>
      <c r="I17" s="963">
        <v>108.33992892739283</v>
      </c>
      <c r="J17" s="963">
        <v>78.683735903470364</v>
      </c>
      <c r="K17" s="963">
        <v>102.66664886479853</v>
      </c>
      <c r="L17" s="963">
        <v>89.627567355411855</v>
      </c>
      <c r="M17" s="963">
        <v>67.316009058203093</v>
      </c>
      <c r="N17" s="963">
        <v>53.348373040281167</v>
      </c>
      <c r="O17" s="963">
        <v>59.581687793669076</v>
      </c>
      <c r="P17" s="963">
        <v>61.958490320496217</v>
      </c>
      <c r="Q17" s="963"/>
    </row>
    <row r="18" spans="1:17" s="11" customFormat="1" ht="18" customHeight="1">
      <c r="A18" s="97" t="s">
        <v>1889</v>
      </c>
      <c r="B18" s="963">
        <v>992.56243515492633</v>
      </c>
      <c r="C18" s="963">
        <v>716.04670306912567</v>
      </c>
      <c r="D18" s="963">
        <v>697.03147045705987</v>
      </c>
      <c r="E18" s="963">
        <v>537.36688168069202</v>
      </c>
      <c r="F18" s="963">
        <v>821.56701224838719</v>
      </c>
      <c r="G18" s="963">
        <v>603.91695783810462</v>
      </c>
      <c r="H18" s="963">
        <v>611.74712867058645</v>
      </c>
      <c r="I18" s="963">
        <v>781.76411223915102</v>
      </c>
      <c r="J18" s="963">
        <v>1059.3128650942078</v>
      </c>
      <c r="K18" s="963">
        <v>975.42175603448447</v>
      </c>
      <c r="L18" s="963">
        <v>835.32594502011511</v>
      </c>
      <c r="M18" s="963">
        <v>743.73023441001499</v>
      </c>
      <c r="N18" s="963">
        <v>973.5603131430189</v>
      </c>
      <c r="O18" s="963">
        <v>684.73187106905186</v>
      </c>
      <c r="P18" s="963">
        <v>848.05290648135258</v>
      </c>
      <c r="Q18" s="963"/>
    </row>
    <row r="19" spans="1:17" s="11" customFormat="1" ht="18" customHeight="1">
      <c r="A19" s="97" t="s">
        <v>1890</v>
      </c>
      <c r="B19" s="963">
        <v>2544.9158912629405</v>
      </c>
      <c r="C19" s="963">
        <v>2240.8278959757581</v>
      </c>
      <c r="D19" s="963">
        <v>2195.6935278366959</v>
      </c>
      <c r="E19" s="963">
        <v>2163.8266721636969</v>
      </c>
      <c r="F19" s="963">
        <v>2206.07487361635</v>
      </c>
      <c r="G19" s="963">
        <v>2217.3171093848932</v>
      </c>
      <c r="H19" s="963">
        <v>2248.7011737516668</v>
      </c>
      <c r="I19" s="963">
        <v>2290.7014163970152</v>
      </c>
      <c r="J19" s="963">
        <v>2386.2294918999378</v>
      </c>
      <c r="K19" s="963">
        <v>2139.6441000775462</v>
      </c>
      <c r="L19" s="963">
        <v>2092.2528668733294</v>
      </c>
      <c r="M19" s="963">
        <v>2031.667399514776</v>
      </c>
      <c r="N19" s="963">
        <v>1893.6333282949201</v>
      </c>
      <c r="O19" s="963">
        <v>1867.481753271833</v>
      </c>
      <c r="P19" s="963">
        <v>1889.0737516613076</v>
      </c>
      <c r="Q19" s="963"/>
    </row>
    <row r="20" spans="1:17" s="11" customFormat="1" ht="18" customHeight="1">
      <c r="A20" s="97" t="s">
        <v>1891</v>
      </c>
      <c r="B20" s="963">
        <v>701.76442436521586</v>
      </c>
      <c r="C20" s="963">
        <v>691.81897234035534</v>
      </c>
      <c r="D20" s="963">
        <v>738.89098730067656</v>
      </c>
      <c r="E20" s="963">
        <v>730.96847821793563</v>
      </c>
      <c r="F20" s="963">
        <v>811.9359733516161</v>
      </c>
      <c r="G20" s="963">
        <v>884.0888131079588</v>
      </c>
      <c r="H20" s="963">
        <v>929.89206589712057</v>
      </c>
      <c r="I20" s="963">
        <v>886.71046326766202</v>
      </c>
      <c r="J20" s="963">
        <v>660.09530502801556</v>
      </c>
      <c r="K20" s="963">
        <v>637.18545378664703</v>
      </c>
      <c r="L20" s="963">
        <v>625.78576823980177</v>
      </c>
      <c r="M20" s="963">
        <v>631.22101284063137</v>
      </c>
      <c r="N20" s="963">
        <v>1269.4620160413833</v>
      </c>
      <c r="O20" s="963">
        <v>1210.473624617867</v>
      </c>
      <c r="P20" s="963">
        <v>1579.5932512520528</v>
      </c>
      <c r="Q20" s="963"/>
    </row>
    <row r="21" spans="1:17" s="11" customFormat="1" ht="18" customHeight="1">
      <c r="A21" s="97" t="s">
        <v>1892</v>
      </c>
      <c r="B21" s="963">
        <v>104.46961491253005</v>
      </c>
      <c r="C21" s="963">
        <v>93.638855084901849</v>
      </c>
      <c r="D21" s="963">
        <v>104.36610465897748</v>
      </c>
      <c r="E21" s="963">
        <v>104.98141805456136</v>
      </c>
      <c r="F21" s="963">
        <v>71.593711248707521</v>
      </c>
      <c r="G21" s="963">
        <v>69.705276316875114</v>
      </c>
      <c r="H21" s="963">
        <v>70.60973970452865</v>
      </c>
      <c r="I21" s="963">
        <v>70.647888742225334</v>
      </c>
      <c r="J21" s="963">
        <v>72.725910626617519</v>
      </c>
      <c r="K21" s="963">
        <v>64.300325035160043</v>
      </c>
      <c r="L21" s="963">
        <v>70.332991225778812</v>
      </c>
      <c r="M21" s="963">
        <v>92.553756938905423</v>
      </c>
      <c r="N21" s="963">
        <v>93.430784216735177</v>
      </c>
      <c r="O21" s="963">
        <v>73.108877301172981</v>
      </c>
      <c r="P21" s="963">
        <v>74.343795634070844</v>
      </c>
      <c r="Q21" s="963"/>
    </row>
    <row r="22" spans="1:17" s="11" customFormat="1" ht="18" customHeight="1">
      <c r="A22" s="97" t="s">
        <v>1882</v>
      </c>
      <c r="B22" s="963">
        <v>129.11609048191974</v>
      </c>
      <c r="C22" s="963">
        <v>121.53365650799159</v>
      </c>
      <c r="D22" s="963">
        <v>124.10134800220609</v>
      </c>
      <c r="E22" s="963">
        <v>120.47253064876131</v>
      </c>
      <c r="F22" s="963">
        <v>85.135138888553328</v>
      </c>
      <c r="G22" s="963">
        <v>78.127518806244865</v>
      </c>
      <c r="H22" s="963">
        <v>78.197881305760745</v>
      </c>
      <c r="I22" s="963">
        <v>80.356900440867534</v>
      </c>
      <c r="J22" s="963">
        <v>85.573237982739116</v>
      </c>
      <c r="K22" s="963">
        <v>76.206223223063105</v>
      </c>
      <c r="L22" s="963">
        <v>81.454484533443889</v>
      </c>
      <c r="M22" s="963">
        <v>107.94783688129704</v>
      </c>
      <c r="N22" s="963">
        <v>104.66735415129951</v>
      </c>
      <c r="O22" s="963">
        <v>82.925512842015962</v>
      </c>
      <c r="P22" s="963">
        <v>82.68536939446038</v>
      </c>
      <c r="Q22" s="963"/>
    </row>
    <row r="23" spans="1:17" s="11" customFormat="1" ht="18" customHeight="1">
      <c r="A23" s="97" t="s">
        <v>1883</v>
      </c>
      <c r="B23" s="963">
        <v>24.646475569389697</v>
      </c>
      <c r="C23" s="963">
        <v>27.894801423089746</v>
      </c>
      <c r="D23" s="963">
        <v>19.735243343228621</v>
      </c>
      <c r="E23" s="963">
        <v>15.491112594199953</v>
      </c>
      <c r="F23" s="963">
        <v>13.541427639845812</v>
      </c>
      <c r="G23" s="963">
        <v>8.4222424893697561</v>
      </c>
      <c r="H23" s="963">
        <v>7.588141601232099</v>
      </c>
      <c r="I23" s="963">
        <v>9.7090116986422057</v>
      </c>
      <c r="J23" s="963">
        <v>12.847327356121596</v>
      </c>
      <c r="K23" s="963">
        <v>11.905898187903063</v>
      </c>
      <c r="L23" s="963">
        <v>11.121493307665069</v>
      </c>
      <c r="M23" s="963">
        <v>15.39407994239162</v>
      </c>
      <c r="N23" s="963">
        <v>11.236569934564328</v>
      </c>
      <c r="O23" s="963">
        <v>9.8166355408429862</v>
      </c>
      <c r="P23" s="963">
        <v>8.3415737603895419</v>
      </c>
      <c r="Q23" s="963"/>
    </row>
    <row r="24" spans="1:17" s="11" customFormat="1" ht="18" customHeight="1">
      <c r="A24" s="218" t="s">
        <v>1893</v>
      </c>
      <c r="B24" s="962">
        <v>21487.944303891614</v>
      </c>
      <c r="C24" s="962">
        <v>17900.010870647006</v>
      </c>
      <c r="D24" s="962">
        <v>17473.985782467782</v>
      </c>
      <c r="E24" s="962">
        <v>19710.248906778124</v>
      </c>
      <c r="F24" s="962">
        <v>19875.22880189076</v>
      </c>
      <c r="G24" s="962">
        <v>19390.803514682219</v>
      </c>
      <c r="H24" s="962">
        <v>19816.50905278053</v>
      </c>
      <c r="I24" s="962">
        <v>19727.612056104823</v>
      </c>
      <c r="J24" s="962">
        <v>21591.24875622696</v>
      </c>
      <c r="K24" s="962">
        <v>18664.372514319664</v>
      </c>
      <c r="L24" s="962">
        <v>19537.394698526223</v>
      </c>
      <c r="M24" s="962">
        <v>20516.641375062736</v>
      </c>
      <c r="N24" s="962">
        <v>18558.185925970472</v>
      </c>
      <c r="O24" s="962">
        <v>15433.784958656306</v>
      </c>
      <c r="P24" s="962">
        <v>16873.958162058225</v>
      </c>
      <c r="Q24" s="962"/>
    </row>
    <row r="25" spans="1:17" s="11" customFormat="1" ht="18" customHeight="1">
      <c r="A25" s="97" t="s">
        <v>1894</v>
      </c>
      <c r="B25" s="963">
        <v>8667.2778029263645</v>
      </c>
      <c r="C25" s="963">
        <v>6572.8570858430185</v>
      </c>
      <c r="D25" s="963">
        <v>6230.6888545005959</v>
      </c>
      <c r="E25" s="963">
        <v>8247.1704305870553</v>
      </c>
      <c r="F25" s="963">
        <v>8575.5676873649372</v>
      </c>
      <c r="G25" s="963">
        <v>7602.3050658077482</v>
      </c>
      <c r="H25" s="963">
        <v>7308.800866023671</v>
      </c>
      <c r="I25" s="963">
        <v>8221.6997740142579</v>
      </c>
      <c r="J25" s="963">
        <v>10733.07541488785</v>
      </c>
      <c r="K25" s="963">
        <v>8033.9631796886224</v>
      </c>
      <c r="L25" s="963">
        <v>8342.6449537239332</v>
      </c>
      <c r="M25" s="963">
        <v>9180.689816273054</v>
      </c>
      <c r="N25" s="963">
        <v>9497.3657958525218</v>
      </c>
      <c r="O25" s="963">
        <v>6983.4749294134763</v>
      </c>
      <c r="P25" s="963">
        <v>8889.8496430827945</v>
      </c>
      <c r="Q25" s="963"/>
    </row>
    <row r="26" spans="1:17" s="11" customFormat="1" ht="18" customHeight="1">
      <c r="A26" s="97" t="s">
        <v>1895</v>
      </c>
      <c r="B26" s="963">
        <v>7264.1971395684632</v>
      </c>
      <c r="C26" s="963">
        <v>5768.9255341741464</v>
      </c>
      <c r="D26" s="963">
        <v>5225.3509392930282</v>
      </c>
      <c r="E26" s="963">
        <v>7329.1413932153446</v>
      </c>
      <c r="F26" s="963">
        <v>7967.11735267311</v>
      </c>
      <c r="G26" s="963">
        <v>6878.0428930510052</v>
      </c>
      <c r="H26" s="963">
        <v>7328.8260037531554</v>
      </c>
      <c r="I26" s="963">
        <v>7385.5013071561916</v>
      </c>
      <c r="J26" s="963">
        <v>10992.545149280188</v>
      </c>
      <c r="K26" s="963">
        <v>6866.0788144797325</v>
      </c>
      <c r="L26" s="963">
        <v>7006.7592660890377</v>
      </c>
      <c r="M26" s="963">
        <v>7409.733941206855</v>
      </c>
      <c r="N26" s="963">
        <v>7861.5234861932959</v>
      </c>
      <c r="O26" s="963">
        <v>5293.996577571188</v>
      </c>
      <c r="P26" s="963">
        <v>7374.5662510975626</v>
      </c>
      <c r="Q26" s="963"/>
    </row>
    <row r="27" spans="1:17" s="11" customFormat="1" ht="18" customHeight="1">
      <c r="A27" s="97" t="s">
        <v>1896</v>
      </c>
      <c r="B27" s="963">
        <v>1403.080663357902</v>
      </c>
      <c r="C27" s="963">
        <v>803.93155166887186</v>
      </c>
      <c r="D27" s="963">
        <v>1005.3379152075678</v>
      </c>
      <c r="E27" s="963">
        <v>918.02903737170993</v>
      </c>
      <c r="F27" s="963">
        <v>608.45033469182681</v>
      </c>
      <c r="G27" s="963">
        <v>724.26217275674298</v>
      </c>
      <c r="H27" s="963">
        <v>-20.025137729484229</v>
      </c>
      <c r="I27" s="963">
        <v>836.19846685806544</v>
      </c>
      <c r="J27" s="963">
        <v>-259.46973439233807</v>
      </c>
      <c r="K27" s="963">
        <v>1167.8843652088904</v>
      </c>
      <c r="L27" s="963">
        <v>1335.8856876348957</v>
      </c>
      <c r="M27" s="963">
        <v>1770.9558750662</v>
      </c>
      <c r="N27" s="963">
        <v>1635.8423096592255</v>
      </c>
      <c r="O27" s="963">
        <v>1689.478351842288</v>
      </c>
      <c r="P27" s="480">
        <v>1515.2833919852319</v>
      </c>
      <c r="Q27" s="480"/>
    </row>
    <row r="28" spans="1:17" s="11" customFormat="1" ht="18" customHeight="1">
      <c r="A28" s="97" t="s">
        <v>1897</v>
      </c>
      <c r="B28" s="963">
        <v>656.59740964086552</v>
      </c>
      <c r="C28" s="963">
        <v>397.8842949626237</v>
      </c>
      <c r="D28" s="963">
        <v>204.90890375859863</v>
      </c>
      <c r="E28" s="963">
        <v>188.68284697106904</v>
      </c>
      <c r="F28" s="963">
        <v>240.77279989175238</v>
      </c>
      <c r="G28" s="963">
        <v>276.28898068379146</v>
      </c>
      <c r="H28" s="963">
        <v>723.89640865115223</v>
      </c>
      <c r="I28" s="963">
        <v>294.84868682152671</v>
      </c>
      <c r="J28" s="963">
        <v>879.84326615381337</v>
      </c>
      <c r="K28" s="963">
        <v>727.55333205108047</v>
      </c>
      <c r="L28" s="963">
        <v>770.98097413199798</v>
      </c>
      <c r="M28" s="963">
        <v>866.24895709014982</v>
      </c>
      <c r="N28" s="963">
        <v>478.9067598039274</v>
      </c>
      <c r="O28" s="963">
        <v>176.27198863804995</v>
      </c>
      <c r="P28" s="963">
        <v>284.90766906645382</v>
      </c>
      <c r="Q28" s="963"/>
    </row>
    <row r="29" spans="1:17" s="11" customFormat="1" ht="18" customHeight="1">
      <c r="A29" s="97" t="s">
        <v>1895</v>
      </c>
      <c r="B29" s="963">
        <v>254.58434537930771</v>
      </c>
      <c r="C29" s="963">
        <v>257.92852285650861</v>
      </c>
      <c r="D29" s="963">
        <v>114.42208078021845</v>
      </c>
      <c r="E29" s="963">
        <v>112.61582793908896</v>
      </c>
      <c r="F29" s="963">
        <v>169.50377471999968</v>
      </c>
      <c r="G29" s="963">
        <v>198.3082187157292</v>
      </c>
      <c r="H29" s="963">
        <v>132.6488002369816</v>
      </c>
      <c r="I29" s="963">
        <v>204.64268097993343</v>
      </c>
      <c r="J29" s="963">
        <v>578.17314616764975</v>
      </c>
      <c r="K29" s="963">
        <v>468.99240380224705</v>
      </c>
      <c r="L29" s="963">
        <v>525.19181516190395</v>
      </c>
      <c r="M29" s="963">
        <v>638.55841104415958</v>
      </c>
      <c r="N29" s="963">
        <v>410.47455933605164</v>
      </c>
      <c r="O29" s="963">
        <v>49.392711257304562</v>
      </c>
      <c r="P29" s="963">
        <v>129.04453047754694</v>
      </c>
      <c r="Q29" s="963"/>
    </row>
    <row r="30" spans="1:17" s="11" customFormat="1" ht="18" customHeight="1">
      <c r="A30" s="97" t="s">
        <v>1896</v>
      </c>
      <c r="B30" s="963">
        <v>402.01306426155782</v>
      </c>
      <c r="C30" s="963">
        <v>139.95577210611506</v>
      </c>
      <c r="D30" s="963">
        <v>90.486822978380175</v>
      </c>
      <c r="E30" s="963">
        <v>76.067019031980081</v>
      </c>
      <c r="F30" s="963">
        <v>71.269025171752702</v>
      </c>
      <c r="G30" s="963">
        <v>77.980761968062296</v>
      </c>
      <c r="H30" s="963">
        <v>591.2476084141706</v>
      </c>
      <c r="I30" s="963">
        <v>90.206005841593267</v>
      </c>
      <c r="J30" s="963">
        <v>301.67011998616357</v>
      </c>
      <c r="K30" s="963">
        <v>258.56092824883342</v>
      </c>
      <c r="L30" s="963">
        <v>245.78915897009398</v>
      </c>
      <c r="M30" s="963">
        <v>227.69054604599017</v>
      </c>
      <c r="N30" s="963">
        <v>68.432200467875774</v>
      </c>
      <c r="O30" s="963">
        <v>126.87927738074538</v>
      </c>
      <c r="P30" s="963">
        <v>155.86313858890688</v>
      </c>
      <c r="Q30" s="963"/>
    </row>
    <row r="31" spans="1:17" s="11" customFormat="1" ht="18" customHeight="1">
      <c r="A31" s="97" t="s">
        <v>1898</v>
      </c>
      <c r="B31" s="963">
        <v>12164.069091324383</v>
      </c>
      <c r="C31" s="963">
        <v>10929.269489841363</v>
      </c>
      <c r="D31" s="963">
        <v>11038.388024208589</v>
      </c>
      <c r="E31" s="963">
        <v>11274.39562922</v>
      </c>
      <c r="F31" s="963">
        <v>11058.88831463407</v>
      </c>
      <c r="G31" s="963">
        <v>11512.20946819068</v>
      </c>
      <c r="H31" s="963">
        <v>11783.811778105704</v>
      </c>
      <c r="I31" s="963">
        <v>11211.063595269037</v>
      </c>
      <c r="J31" s="963">
        <v>9978.3300751852948</v>
      </c>
      <c r="K31" s="963">
        <v>9902.8560025799616</v>
      </c>
      <c r="L31" s="963">
        <v>10423.768770670291</v>
      </c>
      <c r="M31" s="963">
        <v>10469.702601699533</v>
      </c>
      <c r="N31" s="963">
        <v>8581.9133703140233</v>
      </c>
      <c r="O31" s="963">
        <v>8274.0380406047789</v>
      </c>
      <c r="P31" s="963">
        <v>7699.2008499089789</v>
      </c>
      <c r="Q31" s="963"/>
    </row>
    <row r="32" spans="1:17" s="11" customFormat="1" ht="18" customHeight="1">
      <c r="A32" s="97" t="s">
        <v>1899</v>
      </c>
      <c r="B32" s="963">
        <v>626.97109091244238</v>
      </c>
      <c r="C32" s="963">
        <v>165.89408480225777</v>
      </c>
      <c r="D32" s="963">
        <v>-13.52209910525794</v>
      </c>
      <c r="E32" s="963">
        <v>93.643313048488736</v>
      </c>
      <c r="F32" s="963">
        <v>80.069661555262314</v>
      </c>
      <c r="G32" s="963">
        <v>423.35711160985238</v>
      </c>
      <c r="H32" s="963">
        <v>408.67412409088303</v>
      </c>
      <c r="I32" s="963">
        <v>278.61868468999512</v>
      </c>
      <c r="J32" s="963">
        <v>473.60013785726699</v>
      </c>
      <c r="K32" s="963">
        <v>693.84513983441889</v>
      </c>
      <c r="L32" s="963">
        <v>812.31554884559318</v>
      </c>
      <c r="M32" s="963">
        <v>673.23696898850199</v>
      </c>
      <c r="N32" s="963">
        <v>314.30946306123894</v>
      </c>
      <c r="O32" s="963">
        <v>425.43559129485669</v>
      </c>
      <c r="P32" s="963">
        <v>184.68078634519091</v>
      </c>
      <c r="Q32" s="963"/>
    </row>
    <row r="33" spans="1:17" s="11" customFormat="1" ht="18" customHeight="1">
      <c r="A33" s="97" t="s">
        <v>1900</v>
      </c>
      <c r="B33" s="963">
        <v>2650.9966042187311</v>
      </c>
      <c r="C33" s="963">
        <v>2211.2234137146297</v>
      </c>
      <c r="D33" s="963">
        <v>2024.6035831602724</v>
      </c>
      <c r="E33" s="963">
        <v>2094.6383474065678</v>
      </c>
      <c r="F33" s="963">
        <v>1981.6136000029733</v>
      </c>
      <c r="G33" s="963">
        <v>1810.5307292579303</v>
      </c>
      <c r="H33" s="963">
        <v>2074.8358267462104</v>
      </c>
      <c r="I33" s="963">
        <v>1714.8088138490291</v>
      </c>
      <c r="J33" s="963">
        <v>2428.0257591164095</v>
      </c>
      <c r="K33" s="963">
        <v>2130.3165805502958</v>
      </c>
      <c r="L33" s="963">
        <v>2321.5314032373431</v>
      </c>
      <c r="M33" s="963">
        <v>2585.4465124374692</v>
      </c>
      <c r="N33" s="963">
        <v>2298.1097549667238</v>
      </c>
      <c r="O33" s="963">
        <v>2209.2884750130738</v>
      </c>
      <c r="P33" s="963">
        <v>2066.5237733606218</v>
      </c>
      <c r="Q33" s="963"/>
    </row>
    <row r="34" spans="1:17" s="11" customFormat="1" ht="18" customHeight="1">
      <c r="A34" s="213" t="s">
        <v>1901</v>
      </c>
      <c r="B34" s="964">
        <v>8886.1013961932094</v>
      </c>
      <c r="C34" s="964">
        <v>8552.1519913244756</v>
      </c>
      <c r="D34" s="964">
        <v>9027.306540153575</v>
      </c>
      <c r="E34" s="964">
        <v>9086.1139687649429</v>
      </c>
      <c r="F34" s="964">
        <v>8997.2050530758352</v>
      </c>
      <c r="G34" s="964">
        <v>9278.3216273228973</v>
      </c>
      <c r="H34" s="964">
        <v>9300.3018272686113</v>
      </c>
      <c r="I34" s="964">
        <v>9217.6360967300134</v>
      </c>
      <c r="J34" s="964">
        <v>7076.7041782116194</v>
      </c>
      <c r="K34" s="964">
        <v>7078.6942821952471</v>
      </c>
      <c r="L34" s="964">
        <v>7289.9218185873551</v>
      </c>
      <c r="M34" s="964">
        <v>7211.0191202735614</v>
      </c>
      <c r="N34" s="964">
        <v>5969.4941522860599</v>
      </c>
      <c r="O34" s="964">
        <v>5639.3139742968488</v>
      </c>
      <c r="P34" s="964">
        <v>5447.9962902031666</v>
      </c>
      <c r="Q34" s="964"/>
    </row>
    <row r="35" spans="1:17" s="11" customFormat="1" ht="18" customHeight="1">
      <c r="A35" s="628" t="s">
        <v>1902</v>
      </c>
      <c r="B35" s="966">
        <v>87517.212780219561</v>
      </c>
      <c r="C35" s="966">
        <v>81817.616530099069</v>
      </c>
      <c r="D35" s="966">
        <v>76673.420573874246</v>
      </c>
      <c r="E35" s="966">
        <v>78143.279346191601</v>
      </c>
      <c r="F35" s="966">
        <v>77762.915610782424</v>
      </c>
      <c r="G35" s="966">
        <v>76814.319998304913</v>
      </c>
      <c r="H35" s="966">
        <v>76745.634373638895</v>
      </c>
      <c r="I35" s="966">
        <v>79253.284835240018</v>
      </c>
      <c r="J35" s="966">
        <v>82770.476917026506</v>
      </c>
      <c r="K35" s="966">
        <v>79851.183629302221</v>
      </c>
      <c r="L35" s="966">
        <v>81386.861172432138</v>
      </c>
      <c r="M35" s="966">
        <v>83667.765739638737</v>
      </c>
      <c r="N35" s="966">
        <v>78038.984630258434</v>
      </c>
      <c r="O35" s="966">
        <v>71739.096024586455</v>
      </c>
      <c r="P35" s="966">
        <v>72492.527006663964</v>
      </c>
      <c r="Q35" s="966"/>
    </row>
    <row r="36" spans="1:17" s="11" customFormat="1" ht="18" customHeight="1">
      <c r="A36" s="628" t="s">
        <v>1903</v>
      </c>
      <c r="B36" s="966">
        <v>7522.9475658840856</v>
      </c>
      <c r="C36" s="966">
        <v>7335.8088195361343</v>
      </c>
      <c r="D36" s="966">
        <v>6286.6820094162376</v>
      </c>
      <c r="E36" s="966">
        <v>6234.8020122634789</v>
      </c>
      <c r="F36" s="966">
        <v>6318.1412983244209</v>
      </c>
      <c r="G36" s="966">
        <v>6154.729211025804</v>
      </c>
      <c r="H36" s="966">
        <v>6142.754686737765</v>
      </c>
      <c r="I36" s="966">
        <v>7255.7857432163983</v>
      </c>
      <c r="J36" s="966">
        <v>9837.5029541392068</v>
      </c>
      <c r="K36" s="966">
        <v>9050.263556267364</v>
      </c>
      <c r="L36" s="966">
        <v>9087.8392920534043</v>
      </c>
      <c r="M36" s="966">
        <v>9374.0271291710269</v>
      </c>
      <c r="N36" s="966">
        <v>3294.5269292372741</v>
      </c>
      <c r="O36" s="966">
        <v>3251.3655050521679</v>
      </c>
      <c r="P36" s="966">
        <v>3253.6174952526949</v>
      </c>
      <c r="Q36" s="966"/>
    </row>
    <row r="37" spans="1:17" s="11" customFormat="1" ht="18" customHeight="1" thickBot="1">
      <c r="A37" s="967" t="s">
        <v>1904</v>
      </c>
      <c r="B37" s="968">
        <v>95040.160346103643</v>
      </c>
      <c r="C37" s="968">
        <v>89153.425349635203</v>
      </c>
      <c r="D37" s="968">
        <v>82960.102583290485</v>
      </c>
      <c r="E37" s="968">
        <v>84378.081358455078</v>
      </c>
      <c r="F37" s="968">
        <v>84081.056909106846</v>
      </c>
      <c r="G37" s="968">
        <v>82969.049209330711</v>
      </c>
      <c r="H37" s="968">
        <v>82888.389060376663</v>
      </c>
      <c r="I37" s="968">
        <v>86509.07057845642</v>
      </c>
      <c r="J37" s="968">
        <v>92607.979871165706</v>
      </c>
      <c r="K37" s="968">
        <v>88901.447185569588</v>
      </c>
      <c r="L37" s="968">
        <v>90474.700464485548</v>
      </c>
      <c r="M37" s="968">
        <v>93041.79286880976</v>
      </c>
      <c r="N37" s="968">
        <v>81333.511559495702</v>
      </c>
      <c r="O37" s="968">
        <v>74990.461529638618</v>
      </c>
      <c r="P37" s="968">
        <v>75746.144501916657</v>
      </c>
      <c r="Q37" s="968"/>
    </row>
    <row r="38" spans="1:17" s="11" customFormat="1" ht="18" customHeight="1">
      <c r="A38" s="11" t="s">
        <v>1861</v>
      </c>
    </row>
    <row r="39" spans="1:17">
      <c r="A39" s="11" t="s">
        <v>1905</v>
      </c>
    </row>
    <row r="40" spans="1:17">
      <c r="A40" s="11"/>
    </row>
  </sheetData>
  <phoneticPr fontId="5"/>
  <pageMargins left="0.78740157480314965" right="0.78740157480314965" top="0.98425196850393704" bottom="0.98425196850393704" header="0.51181102362204722" footer="0.51181102362204722"/>
  <pageSetup paperSize="9" scale="54" orientation="landscape"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FF02D-5734-4B39-9532-22DD0446A497}">
  <sheetPr codeName="Sheet138"/>
  <dimension ref="A1:Q16"/>
  <sheetViews>
    <sheetView zoomScaleNormal="100" workbookViewId="0"/>
  </sheetViews>
  <sheetFormatPr defaultColWidth="8.09765625" defaultRowHeight="10.8"/>
  <cols>
    <col min="1" max="1" width="10.19921875" style="1236" customWidth="1"/>
    <col min="2" max="17" width="6.3984375" style="1236" customWidth="1"/>
    <col min="18" max="16384" width="8.09765625" style="1236"/>
  </cols>
  <sheetData>
    <row r="1" spans="1:17" ht="30" customHeight="1" thickBot="1">
      <c r="A1" s="1481" t="s">
        <v>3693</v>
      </c>
    </row>
    <row r="2" spans="1:17" ht="16.2" customHeight="1">
      <c r="A2" s="2393" t="s">
        <v>1583</v>
      </c>
      <c r="B2" s="2389" t="s">
        <v>3694</v>
      </c>
      <c r="C2" s="2389"/>
      <c r="D2" s="2389"/>
      <c r="E2" s="2389"/>
      <c r="F2" s="2389"/>
      <c r="G2" s="2389"/>
      <c r="H2" s="2389"/>
      <c r="I2" s="2389"/>
      <c r="J2" s="2389"/>
      <c r="K2" s="2389"/>
      <c r="L2" s="2389"/>
      <c r="M2" s="2389"/>
      <c r="N2" s="2389" t="s">
        <v>3695</v>
      </c>
      <c r="O2" s="2389"/>
      <c r="P2" s="2389"/>
      <c r="Q2" s="2390"/>
    </row>
    <row r="3" spans="1:17" ht="26.4" customHeight="1">
      <c r="A3" s="2443"/>
      <c r="B3" s="2735" t="s">
        <v>3696</v>
      </c>
      <c r="C3" s="2647" t="s">
        <v>3697</v>
      </c>
      <c r="D3" s="2647" t="s">
        <v>3698</v>
      </c>
      <c r="E3" s="2647" t="s">
        <v>3699</v>
      </c>
      <c r="F3" s="2735" t="s">
        <v>3700</v>
      </c>
      <c r="G3" s="2735" t="s">
        <v>3701</v>
      </c>
      <c r="H3" s="2647" t="s">
        <v>3702</v>
      </c>
      <c r="I3" s="2647" t="s">
        <v>3703</v>
      </c>
      <c r="J3" s="2647"/>
      <c r="K3" s="2647" t="s">
        <v>3704</v>
      </c>
      <c r="L3" s="2647"/>
      <c r="M3" s="2647" t="s">
        <v>3705</v>
      </c>
      <c r="N3" s="2646" t="s">
        <v>3706</v>
      </c>
      <c r="O3" s="2646"/>
      <c r="P3" s="2646" t="s">
        <v>3707</v>
      </c>
      <c r="Q3" s="2495"/>
    </row>
    <row r="4" spans="1:17" ht="34.200000000000003" customHeight="1">
      <c r="A4" s="2443"/>
      <c r="B4" s="2735"/>
      <c r="C4" s="2647"/>
      <c r="D4" s="2647"/>
      <c r="E4" s="2647"/>
      <c r="F4" s="2735"/>
      <c r="G4" s="2735"/>
      <c r="H4" s="2647"/>
      <c r="I4" s="2647"/>
      <c r="J4" s="2647"/>
      <c r="K4" s="2647"/>
      <c r="L4" s="2647"/>
      <c r="M4" s="2647"/>
      <c r="N4" s="2007" t="s">
        <v>606</v>
      </c>
      <c r="O4" s="2007" t="s">
        <v>3708</v>
      </c>
      <c r="P4" s="2007" t="s">
        <v>606</v>
      </c>
      <c r="Q4" s="2005" t="s">
        <v>3708</v>
      </c>
    </row>
    <row r="5" spans="1:17">
      <c r="A5" s="2004"/>
      <c r="B5" s="1651" t="s">
        <v>1719</v>
      </c>
      <c r="C5" s="1651" t="s">
        <v>1719</v>
      </c>
      <c r="D5" s="1651" t="s">
        <v>1719</v>
      </c>
      <c r="E5" s="1651" t="s">
        <v>1719</v>
      </c>
      <c r="F5" s="1651" t="s">
        <v>1719</v>
      </c>
      <c r="G5" s="1651" t="s">
        <v>1719</v>
      </c>
      <c r="H5" s="1652" t="s">
        <v>3709</v>
      </c>
      <c r="I5" s="2734" t="s">
        <v>3710</v>
      </c>
      <c r="J5" s="2734"/>
      <c r="K5" s="2734" t="s">
        <v>3709</v>
      </c>
      <c r="L5" s="2734"/>
      <c r="M5" s="1652" t="s">
        <v>3710</v>
      </c>
      <c r="N5" s="1652" t="s">
        <v>229</v>
      </c>
      <c r="O5" s="1652" t="s">
        <v>229</v>
      </c>
      <c r="P5" s="1652" t="s">
        <v>229</v>
      </c>
      <c r="Q5" s="1653" t="s">
        <v>229</v>
      </c>
    </row>
    <row r="6" spans="1:17" ht="19.8" customHeight="1">
      <c r="A6" s="2004" t="s">
        <v>1638</v>
      </c>
      <c r="B6" s="2127">
        <v>2</v>
      </c>
      <c r="C6" s="2127">
        <v>1</v>
      </c>
      <c r="D6" s="2127">
        <v>1</v>
      </c>
      <c r="E6" s="2127">
        <v>23</v>
      </c>
      <c r="F6" s="2127">
        <v>42</v>
      </c>
      <c r="G6" s="2127">
        <v>2</v>
      </c>
      <c r="H6" s="2127">
        <v>56</v>
      </c>
      <c r="I6" s="2128">
        <v>240</v>
      </c>
      <c r="J6" s="2129">
        <v>14</v>
      </c>
      <c r="K6" s="2128">
        <v>1474</v>
      </c>
      <c r="L6" s="2130" t="s">
        <v>3711</v>
      </c>
      <c r="M6" s="2127">
        <v>45</v>
      </c>
      <c r="N6" s="2127">
        <v>769</v>
      </c>
      <c r="O6" s="2127">
        <v>659</v>
      </c>
      <c r="P6" s="2127" t="s">
        <v>431</v>
      </c>
      <c r="Q6" s="2131">
        <v>50</v>
      </c>
    </row>
    <row r="7" spans="1:17" ht="19.8" customHeight="1">
      <c r="A7" s="2004">
        <v>2</v>
      </c>
      <c r="B7" s="2127">
        <v>2</v>
      </c>
      <c r="C7" s="2127">
        <v>1</v>
      </c>
      <c r="D7" s="2127">
        <v>1</v>
      </c>
      <c r="E7" s="2127">
        <v>23</v>
      </c>
      <c r="F7" s="2127">
        <v>42</v>
      </c>
      <c r="G7" s="2127">
        <v>2</v>
      </c>
      <c r="H7" s="2127">
        <v>56</v>
      </c>
      <c r="I7" s="2128">
        <v>240</v>
      </c>
      <c r="J7" s="2129">
        <v>14</v>
      </c>
      <c r="K7" s="2128">
        <v>1474</v>
      </c>
      <c r="L7" s="2130" t="s">
        <v>3711</v>
      </c>
      <c r="M7" s="2127">
        <v>45</v>
      </c>
      <c r="N7" s="2127">
        <v>769</v>
      </c>
      <c r="O7" s="2127">
        <v>655</v>
      </c>
      <c r="P7" s="2127" t="s">
        <v>305</v>
      </c>
      <c r="Q7" s="2131">
        <v>50</v>
      </c>
    </row>
    <row r="8" spans="1:17" ht="19.8" customHeight="1">
      <c r="A8" s="2004">
        <v>3</v>
      </c>
      <c r="B8" s="2127">
        <v>2</v>
      </c>
      <c r="C8" s="2127">
        <v>1</v>
      </c>
      <c r="D8" s="2127">
        <v>1</v>
      </c>
      <c r="E8" s="2127">
        <v>23</v>
      </c>
      <c r="F8" s="2127">
        <v>42</v>
      </c>
      <c r="G8" s="2127">
        <v>2</v>
      </c>
      <c r="H8" s="2127">
        <v>56</v>
      </c>
      <c r="I8" s="2128">
        <v>240</v>
      </c>
      <c r="J8" s="2129">
        <v>14</v>
      </c>
      <c r="K8" s="2128">
        <v>1474</v>
      </c>
      <c r="L8" s="2130" t="s">
        <v>3712</v>
      </c>
      <c r="M8" s="2127">
        <v>45</v>
      </c>
      <c r="N8" s="2127">
        <v>769</v>
      </c>
      <c r="O8" s="2127">
        <v>635</v>
      </c>
      <c r="P8" s="2127" t="s">
        <v>431</v>
      </c>
      <c r="Q8" s="2131">
        <v>51</v>
      </c>
    </row>
    <row r="9" spans="1:17" ht="19.8" customHeight="1">
      <c r="A9" s="2004">
        <v>4</v>
      </c>
      <c r="B9" s="2127">
        <v>2</v>
      </c>
      <c r="C9" s="2127">
        <v>1</v>
      </c>
      <c r="D9" s="2127">
        <v>1</v>
      </c>
      <c r="E9" s="2127">
        <v>23</v>
      </c>
      <c r="F9" s="2127">
        <v>42</v>
      </c>
      <c r="G9" s="2127">
        <v>2</v>
      </c>
      <c r="H9" s="2127">
        <v>56</v>
      </c>
      <c r="I9" s="2128">
        <v>240</v>
      </c>
      <c r="J9" s="2129">
        <v>14</v>
      </c>
      <c r="K9" s="2128">
        <v>1474</v>
      </c>
      <c r="L9" s="2130" t="s">
        <v>3712</v>
      </c>
      <c r="M9" s="2127">
        <v>45</v>
      </c>
      <c r="N9" s="2127">
        <v>769</v>
      </c>
      <c r="O9" s="2127">
        <v>569</v>
      </c>
      <c r="P9" s="2127" t="s">
        <v>431</v>
      </c>
      <c r="Q9" s="2131">
        <v>51</v>
      </c>
    </row>
    <row r="10" spans="1:17" ht="19.8" customHeight="1" thickBot="1">
      <c r="A10" s="1601">
        <v>5</v>
      </c>
      <c r="B10" s="2132">
        <v>2</v>
      </c>
      <c r="C10" s="2132">
        <v>1</v>
      </c>
      <c r="D10" s="2132">
        <v>1</v>
      </c>
      <c r="E10" s="2132">
        <v>22</v>
      </c>
      <c r="F10" s="2132">
        <v>41</v>
      </c>
      <c r="G10" s="2132">
        <v>2</v>
      </c>
      <c r="H10" s="2132">
        <v>56</v>
      </c>
      <c r="I10" s="2133">
        <v>240</v>
      </c>
      <c r="J10" s="2134">
        <v>14</v>
      </c>
      <c r="K10" s="2133">
        <v>1474</v>
      </c>
      <c r="L10" s="2135" t="s">
        <v>3712</v>
      </c>
      <c r="M10" s="2132">
        <v>45</v>
      </c>
      <c r="N10" s="2132">
        <v>556</v>
      </c>
      <c r="O10" s="2132">
        <v>527</v>
      </c>
      <c r="P10" s="2132" t="s">
        <v>431</v>
      </c>
      <c r="Q10" s="2136">
        <v>52</v>
      </c>
    </row>
    <row r="11" spans="1:17" ht="16.8" customHeight="1">
      <c r="A11" s="1236" t="s">
        <v>3716</v>
      </c>
    </row>
    <row r="12" spans="1:17" ht="16.8" customHeight="1">
      <c r="A12" s="1451" t="s">
        <v>3717</v>
      </c>
      <c r="B12" s="1451"/>
      <c r="C12" s="1451"/>
      <c r="D12" s="1451"/>
      <c r="E12" s="1451"/>
      <c r="F12" s="1451"/>
      <c r="G12" s="1451"/>
      <c r="H12" s="1451"/>
      <c r="I12" s="1451"/>
      <c r="J12" s="1451"/>
      <c r="K12" s="1451"/>
      <c r="L12" s="1451"/>
      <c r="M12" s="1451"/>
      <c r="N12" s="1451"/>
      <c r="O12" s="1451"/>
      <c r="P12" s="1451"/>
      <c r="Q12" s="1451"/>
    </row>
    <row r="13" spans="1:17" ht="16.8" customHeight="1">
      <c r="A13" s="1236" t="s">
        <v>3718</v>
      </c>
    </row>
    <row r="14" spans="1:17" ht="16.8" customHeight="1"/>
    <row r="15" spans="1:17" ht="16.8" customHeight="1"/>
    <row r="16" spans="1:17">
      <c r="A16" s="1236" t="s">
        <v>3713</v>
      </c>
    </row>
  </sheetData>
  <mergeCells count="17">
    <mergeCell ref="M3:M4"/>
    <mergeCell ref="N3:O3"/>
    <mergeCell ref="P3:Q3"/>
    <mergeCell ref="I5:J5"/>
    <mergeCell ref="K5:L5"/>
    <mergeCell ref="A2:A4"/>
    <mergeCell ref="B2:M2"/>
    <mergeCell ref="N2:Q2"/>
    <mergeCell ref="B3:B4"/>
    <mergeCell ref="C3:C4"/>
    <mergeCell ref="D3:D4"/>
    <mergeCell ref="E3:E4"/>
    <mergeCell ref="F3:F4"/>
    <mergeCell ref="G3:G4"/>
    <mergeCell ref="H3:H4"/>
    <mergeCell ref="I3:J4"/>
    <mergeCell ref="K3:L4"/>
  </mergeCells>
  <phoneticPr fontId="4"/>
  <pageMargins left="0.7" right="0.7" top="0.75" bottom="0.75" header="0.3" footer="0.3"/>
  <pageSetup paperSize="9" scale="86" orientation="landscape"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4D85A-FA06-419A-8AB2-1B04D3DCB9D6}">
  <sheetPr codeName="Sheet139"/>
  <dimension ref="A1:N10"/>
  <sheetViews>
    <sheetView workbookViewId="0"/>
  </sheetViews>
  <sheetFormatPr defaultColWidth="8.09765625" defaultRowHeight="10.8"/>
  <cols>
    <col min="1" max="14" width="7.796875" style="1236" customWidth="1"/>
    <col min="15" max="16384" width="8.09765625" style="1236"/>
  </cols>
  <sheetData>
    <row r="1" spans="1:14" ht="30" customHeight="1" thickBot="1">
      <c r="A1" s="1481" t="s">
        <v>3340</v>
      </c>
    </row>
    <row r="2" spans="1:14">
      <c r="A2" s="2393" t="s">
        <v>49</v>
      </c>
      <c r="B2" s="2389" t="s">
        <v>3341</v>
      </c>
      <c r="C2" s="2389"/>
      <c r="D2" s="2389"/>
      <c r="E2" s="2389"/>
      <c r="F2" s="2389"/>
      <c r="G2" s="2389"/>
      <c r="H2" s="2389"/>
      <c r="I2" s="2389"/>
      <c r="J2" s="2389"/>
      <c r="K2" s="2389"/>
      <c r="L2" s="2389" t="s">
        <v>3342</v>
      </c>
      <c r="M2" s="2389"/>
      <c r="N2" s="2390"/>
    </row>
    <row r="3" spans="1:14" ht="21.6">
      <c r="A3" s="2443"/>
      <c r="B3" s="1272" t="s">
        <v>25</v>
      </c>
      <c r="C3" s="1272" t="s">
        <v>3343</v>
      </c>
      <c r="D3" s="1272" t="s">
        <v>3344</v>
      </c>
      <c r="E3" s="1843" t="s">
        <v>3345</v>
      </c>
      <c r="F3" s="1843" t="s">
        <v>3346</v>
      </c>
      <c r="G3" s="1843" t="s">
        <v>3347</v>
      </c>
      <c r="H3" s="1843" t="s">
        <v>3348</v>
      </c>
      <c r="I3" s="1843" t="s">
        <v>3349</v>
      </c>
      <c r="J3" s="1272" t="s">
        <v>3350</v>
      </c>
      <c r="K3" s="1843" t="s">
        <v>3351</v>
      </c>
      <c r="L3" s="1272" t="s">
        <v>25</v>
      </c>
      <c r="M3" s="1272" t="s">
        <v>164</v>
      </c>
      <c r="N3" s="1435" t="s">
        <v>165</v>
      </c>
    </row>
    <row r="4" spans="1:14">
      <c r="B4" s="1652" t="s">
        <v>230</v>
      </c>
      <c r="C4" s="1652" t="s">
        <v>230</v>
      </c>
      <c r="D4" s="1652" t="s">
        <v>230</v>
      </c>
      <c r="E4" s="1652" t="s">
        <v>230</v>
      </c>
      <c r="F4" s="1652" t="s">
        <v>230</v>
      </c>
      <c r="G4" s="1652" t="s">
        <v>230</v>
      </c>
      <c r="H4" s="1652" t="s">
        <v>230</v>
      </c>
      <c r="I4" s="1652" t="s">
        <v>230</v>
      </c>
      <c r="J4" s="1652" t="s">
        <v>230</v>
      </c>
      <c r="K4" s="1652" t="s">
        <v>230</v>
      </c>
      <c r="L4" s="1652" t="s">
        <v>229</v>
      </c>
      <c r="M4" s="1652" t="s">
        <v>229</v>
      </c>
      <c r="N4" s="1653" t="s">
        <v>229</v>
      </c>
    </row>
    <row r="5" spans="1:14" ht="19.8" customHeight="1">
      <c r="A5" s="1654" t="s">
        <v>79</v>
      </c>
      <c r="B5" s="1849">
        <v>3457</v>
      </c>
      <c r="C5" s="1849">
        <v>183</v>
      </c>
      <c r="D5" s="1849">
        <v>1948</v>
      </c>
      <c r="E5" s="1849">
        <v>33</v>
      </c>
      <c r="F5" s="1849">
        <v>693</v>
      </c>
      <c r="G5" s="1849">
        <v>33</v>
      </c>
      <c r="H5" s="1849">
        <v>22</v>
      </c>
      <c r="I5" s="1849">
        <v>4</v>
      </c>
      <c r="J5" s="1849">
        <v>9</v>
      </c>
      <c r="K5" s="1849">
        <v>532</v>
      </c>
      <c r="L5" s="1849">
        <v>3319</v>
      </c>
      <c r="M5" s="1849">
        <v>1797</v>
      </c>
      <c r="N5" s="1850">
        <v>1522</v>
      </c>
    </row>
    <row r="6" spans="1:14" ht="19.8" customHeight="1">
      <c r="A6" s="1851">
        <v>2</v>
      </c>
      <c r="B6" s="1852">
        <v>2964</v>
      </c>
      <c r="C6" s="1852">
        <v>168</v>
      </c>
      <c r="D6" s="1852">
        <v>1663</v>
      </c>
      <c r="E6" s="1852">
        <v>8</v>
      </c>
      <c r="F6" s="1852">
        <v>608</v>
      </c>
      <c r="G6" s="1852">
        <v>31</v>
      </c>
      <c r="H6" s="1852">
        <v>11</v>
      </c>
      <c r="I6" s="1852">
        <v>4</v>
      </c>
      <c r="J6" s="1852">
        <v>4</v>
      </c>
      <c r="K6" s="1852">
        <v>467</v>
      </c>
      <c r="L6" s="1852">
        <v>2871</v>
      </c>
      <c r="M6" s="1852">
        <v>1538</v>
      </c>
      <c r="N6" s="1853">
        <v>1333</v>
      </c>
    </row>
    <row r="7" spans="1:14" ht="19.8" customHeight="1">
      <c r="A7" s="1851">
        <v>3</v>
      </c>
      <c r="B7" s="1852">
        <v>2937</v>
      </c>
      <c r="C7" s="1852">
        <v>126</v>
      </c>
      <c r="D7" s="1852">
        <v>1706</v>
      </c>
      <c r="E7" s="1852">
        <v>20</v>
      </c>
      <c r="F7" s="1852">
        <v>621</v>
      </c>
      <c r="G7" s="1852">
        <v>22</v>
      </c>
      <c r="H7" s="1852">
        <v>15</v>
      </c>
      <c r="I7" s="1852">
        <v>0</v>
      </c>
      <c r="J7" s="1852">
        <v>5</v>
      </c>
      <c r="K7" s="1852">
        <v>458</v>
      </c>
      <c r="L7" s="1852">
        <v>2822</v>
      </c>
      <c r="M7" s="1852">
        <v>1495</v>
      </c>
      <c r="N7" s="1853">
        <v>1327</v>
      </c>
    </row>
    <row r="8" spans="1:14" ht="19.8" customHeight="1">
      <c r="A8" s="1851">
        <v>4</v>
      </c>
      <c r="B8" s="1852">
        <v>3430</v>
      </c>
      <c r="C8" s="1852">
        <v>174</v>
      </c>
      <c r="D8" s="1852">
        <v>1992</v>
      </c>
      <c r="E8" s="1852">
        <v>28</v>
      </c>
      <c r="F8" s="1852">
        <v>694</v>
      </c>
      <c r="G8" s="1852">
        <v>38</v>
      </c>
      <c r="H8" s="1852">
        <v>10</v>
      </c>
      <c r="I8" s="1852">
        <v>3</v>
      </c>
      <c r="J8" s="1852">
        <v>11</v>
      </c>
      <c r="K8" s="1852">
        <v>480</v>
      </c>
      <c r="L8" s="1852">
        <v>3279</v>
      </c>
      <c r="M8" s="1852">
        <v>1794</v>
      </c>
      <c r="N8" s="1853">
        <v>1485</v>
      </c>
    </row>
    <row r="9" spans="1:14" ht="19.8" customHeight="1" thickBot="1">
      <c r="A9" s="1601">
        <v>5</v>
      </c>
      <c r="B9" s="1854">
        <v>3734</v>
      </c>
      <c r="C9" s="1854">
        <v>146</v>
      </c>
      <c r="D9" s="1854">
        <v>2248</v>
      </c>
      <c r="E9" s="1854">
        <v>36</v>
      </c>
      <c r="F9" s="1854">
        <v>789</v>
      </c>
      <c r="G9" s="1854">
        <v>23</v>
      </c>
      <c r="H9" s="1854">
        <v>23</v>
      </c>
      <c r="I9" s="1854">
        <v>3</v>
      </c>
      <c r="J9" s="1854">
        <v>7</v>
      </c>
      <c r="K9" s="1854">
        <v>459</v>
      </c>
      <c r="L9" s="1854">
        <v>3535</v>
      </c>
      <c r="M9" s="1854">
        <v>1924</v>
      </c>
      <c r="N9" s="1855">
        <v>1611</v>
      </c>
    </row>
    <row r="10" spans="1:14" ht="16.8" customHeight="1">
      <c r="A10" s="2736" t="s">
        <v>3352</v>
      </c>
      <c r="B10" s="2737"/>
      <c r="C10" s="2737"/>
      <c r="D10" s="2737"/>
      <c r="E10" s="2737"/>
      <c r="F10" s="2737"/>
      <c r="G10" s="2737"/>
      <c r="H10" s="2737"/>
      <c r="I10" s="2737"/>
      <c r="J10" s="2737"/>
      <c r="K10" s="2737"/>
      <c r="L10" s="2737"/>
      <c r="M10" s="2737"/>
      <c r="N10" s="2737"/>
    </row>
  </sheetData>
  <mergeCells count="4">
    <mergeCell ref="A2:A3"/>
    <mergeCell ref="B2:K2"/>
    <mergeCell ref="L2:N2"/>
    <mergeCell ref="A10:N10"/>
  </mergeCells>
  <phoneticPr fontId="4"/>
  <pageMargins left="0.7" right="0.7" top="0.75" bottom="0.75" header="0.3" footer="0.3"/>
  <pageSetup paperSize="9" orientation="landscape"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97EA2-E8BF-4DF6-A56A-52C11505C7DE}">
  <sheetPr codeName="Sheet140"/>
  <dimension ref="A1:N9"/>
  <sheetViews>
    <sheetView workbookViewId="0"/>
  </sheetViews>
  <sheetFormatPr defaultColWidth="8.09765625" defaultRowHeight="10.8"/>
  <cols>
    <col min="1" max="1" width="6.8984375" style="1236" customWidth="1"/>
    <col min="2" max="14" width="6" style="1236" customWidth="1"/>
    <col min="15" max="16384" width="8.09765625" style="1236"/>
  </cols>
  <sheetData>
    <row r="1" spans="1:14" ht="30" customHeight="1" thickBot="1">
      <c r="A1" s="1481" t="s">
        <v>3353</v>
      </c>
    </row>
    <row r="2" spans="1:14" ht="61.2" customHeight="1">
      <c r="A2" s="1856" t="s">
        <v>1015</v>
      </c>
      <c r="B2" s="1597" t="s">
        <v>25</v>
      </c>
      <c r="C2" s="1857" t="s">
        <v>3354</v>
      </c>
      <c r="D2" s="1857" t="s">
        <v>3355</v>
      </c>
      <c r="E2" s="1857" t="s">
        <v>3356</v>
      </c>
      <c r="F2" s="1857" t="s">
        <v>3357</v>
      </c>
      <c r="G2" s="1857" t="s">
        <v>3358</v>
      </c>
      <c r="H2" s="1857" t="s">
        <v>3359</v>
      </c>
      <c r="I2" s="1857" t="s">
        <v>3360</v>
      </c>
      <c r="J2" s="1857" t="s">
        <v>3361</v>
      </c>
      <c r="K2" s="1857" t="s">
        <v>3362</v>
      </c>
      <c r="L2" s="1857" t="s">
        <v>3363</v>
      </c>
      <c r="M2" s="1857" t="s">
        <v>3364</v>
      </c>
      <c r="N2" s="1858" t="s">
        <v>33</v>
      </c>
    </row>
    <row r="3" spans="1:14" ht="19.8" customHeight="1">
      <c r="A3" s="1859"/>
      <c r="B3" s="1471"/>
      <c r="C3" s="1275" t="s">
        <v>230</v>
      </c>
      <c r="D3" s="1275" t="s">
        <v>230</v>
      </c>
      <c r="E3" s="1275" t="s">
        <v>230</v>
      </c>
      <c r="F3" s="1275" t="s">
        <v>230</v>
      </c>
      <c r="G3" s="1275" t="s">
        <v>230</v>
      </c>
      <c r="H3" s="1275" t="s">
        <v>230</v>
      </c>
      <c r="I3" s="1275" t="s">
        <v>230</v>
      </c>
      <c r="J3" s="1275" t="s">
        <v>230</v>
      </c>
      <c r="K3" s="1275" t="s">
        <v>230</v>
      </c>
      <c r="L3" s="1275" t="s">
        <v>230</v>
      </c>
      <c r="M3" s="1275" t="s">
        <v>230</v>
      </c>
      <c r="N3" s="1274" t="s">
        <v>230</v>
      </c>
    </row>
    <row r="4" spans="1:14" ht="19.8" customHeight="1">
      <c r="A4" s="1860" t="s">
        <v>79</v>
      </c>
      <c r="B4" s="1862">
        <v>9</v>
      </c>
      <c r="C4" s="1863">
        <v>1</v>
      </c>
      <c r="D4" s="1863" t="s">
        <v>431</v>
      </c>
      <c r="E4" s="1863" t="s">
        <v>431</v>
      </c>
      <c r="F4" s="1863">
        <v>1</v>
      </c>
      <c r="G4" s="1863">
        <v>1</v>
      </c>
      <c r="H4" s="1863" t="s">
        <v>431</v>
      </c>
      <c r="I4" s="1863" t="s">
        <v>431</v>
      </c>
      <c r="J4" s="1863" t="s">
        <v>431</v>
      </c>
      <c r="K4" s="1863" t="s">
        <v>431</v>
      </c>
      <c r="L4" s="1863">
        <v>1</v>
      </c>
      <c r="M4" s="1863">
        <v>2</v>
      </c>
      <c r="N4" s="1864">
        <v>3</v>
      </c>
    </row>
    <row r="5" spans="1:14" ht="19.8" customHeight="1">
      <c r="A5" s="1861">
        <v>2</v>
      </c>
      <c r="B5" s="1865">
        <v>12</v>
      </c>
      <c r="C5" s="1866" t="s">
        <v>431</v>
      </c>
      <c r="D5" s="1866" t="s">
        <v>431</v>
      </c>
      <c r="E5" s="1866">
        <v>3</v>
      </c>
      <c r="F5" s="1866" t="s">
        <v>431</v>
      </c>
      <c r="G5" s="1866">
        <v>1</v>
      </c>
      <c r="H5" s="1866" t="s">
        <v>431</v>
      </c>
      <c r="I5" s="1866" t="s">
        <v>431</v>
      </c>
      <c r="J5" s="1866">
        <v>1</v>
      </c>
      <c r="K5" s="1866" t="s">
        <v>431</v>
      </c>
      <c r="L5" s="1866" t="s">
        <v>431</v>
      </c>
      <c r="M5" s="1866">
        <v>3</v>
      </c>
      <c r="N5" s="1867">
        <v>4</v>
      </c>
    </row>
    <row r="6" spans="1:14" ht="19.8" customHeight="1">
      <c r="A6" s="1861">
        <v>3</v>
      </c>
      <c r="B6" s="1865">
        <v>11</v>
      </c>
      <c r="C6" s="1866" t="s">
        <v>431</v>
      </c>
      <c r="D6" s="1866" t="s">
        <v>431</v>
      </c>
      <c r="E6" s="1866">
        <v>2</v>
      </c>
      <c r="F6" s="1866">
        <v>1</v>
      </c>
      <c r="G6" s="1866">
        <v>1</v>
      </c>
      <c r="H6" s="1866" t="s">
        <v>431</v>
      </c>
      <c r="I6" s="1866">
        <v>1</v>
      </c>
      <c r="J6" s="1866">
        <v>1</v>
      </c>
      <c r="K6" s="1866" t="s">
        <v>431</v>
      </c>
      <c r="L6" s="1866" t="s">
        <v>431</v>
      </c>
      <c r="M6" s="1866">
        <v>3</v>
      </c>
      <c r="N6" s="1867">
        <v>2</v>
      </c>
    </row>
    <row r="7" spans="1:14" ht="19.8" customHeight="1">
      <c r="A7" s="1861">
        <v>4</v>
      </c>
      <c r="B7" s="1865">
        <v>10</v>
      </c>
      <c r="C7" s="1866">
        <v>1</v>
      </c>
      <c r="D7" s="1866" t="s">
        <v>431</v>
      </c>
      <c r="E7" s="1866">
        <v>2</v>
      </c>
      <c r="F7" s="1866" t="s">
        <v>431</v>
      </c>
      <c r="G7" s="1866" t="s">
        <v>431</v>
      </c>
      <c r="H7" s="1866" t="s">
        <v>431</v>
      </c>
      <c r="I7" s="1866">
        <v>2</v>
      </c>
      <c r="J7" s="1866" t="s">
        <v>431</v>
      </c>
      <c r="K7" s="1866">
        <v>1</v>
      </c>
      <c r="L7" s="1866" t="s">
        <v>431</v>
      </c>
      <c r="M7" s="1866">
        <v>1</v>
      </c>
      <c r="N7" s="1867">
        <v>3</v>
      </c>
    </row>
    <row r="8" spans="1:14" ht="19.8" customHeight="1" thickBot="1">
      <c r="A8" s="1504">
        <v>5</v>
      </c>
      <c r="B8" s="1868">
        <v>13</v>
      </c>
      <c r="C8" s="1869" t="s">
        <v>431</v>
      </c>
      <c r="D8" s="1869" t="s">
        <v>431</v>
      </c>
      <c r="E8" s="1869">
        <v>2</v>
      </c>
      <c r="F8" s="1869">
        <v>1</v>
      </c>
      <c r="G8" s="1869">
        <v>1</v>
      </c>
      <c r="H8" s="1869" t="s">
        <v>431</v>
      </c>
      <c r="I8" s="1869">
        <v>1</v>
      </c>
      <c r="J8" s="1869" t="s">
        <v>431</v>
      </c>
      <c r="K8" s="1869" t="s">
        <v>431</v>
      </c>
      <c r="L8" s="1869">
        <v>1</v>
      </c>
      <c r="M8" s="1869">
        <v>2</v>
      </c>
      <c r="N8" s="1870">
        <v>5</v>
      </c>
    </row>
    <row r="9" spans="1:14" ht="16.8" customHeight="1">
      <c r="A9" s="1236" t="s">
        <v>3365</v>
      </c>
    </row>
  </sheetData>
  <phoneticPr fontId="4"/>
  <pageMargins left="0.7" right="0.7" top="0.75" bottom="0.75" header="0.3" footer="0.3"/>
  <pageSetup paperSize="9" orientation="landscape"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7CC4F-95C8-4366-8E2E-08C79379595C}">
  <dimension ref="A1:K10"/>
  <sheetViews>
    <sheetView zoomScaleNormal="100" workbookViewId="0"/>
  </sheetViews>
  <sheetFormatPr defaultColWidth="8.09765625" defaultRowHeight="26.4" customHeight="1"/>
  <cols>
    <col min="1" max="1" width="7.09765625" style="1236" customWidth="1"/>
    <col min="2" max="10" width="7.296875" style="1236" customWidth="1"/>
    <col min="11" max="11" width="8.69921875" style="1236" customWidth="1"/>
    <col min="12" max="16384" width="8.09765625" style="1236"/>
  </cols>
  <sheetData>
    <row r="1" spans="1:11" ht="30" customHeight="1" thickBot="1">
      <c r="A1" s="1481" t="s">
        <v>3366</v>
      </c>
    </row>
    <row r="2" spans="1:11" ht="26.4" customHeight="1">
      <c r="A2" s="2395" t="s">
        <v>1941</v>
      </c>
      <c r="B2" s="2600" t="s">
        <v>3367</v>
      </c>
      <c r="C2" s="2395"/>
      <c r="D2" s="2395"/>
      <c r="E2" s="2395"/>
      <c r="F2" s="2395"/>
      <c r="G2" s="2390" t="s">
        <v>3368</v>
      </c>
      <c r="H2" s="2393"/>
      <c r="I2" s="2390" t="s">
        <v>3369</v>
      </c>
      <c r="J2" s="2393"/>
      <c r="K2" s="2390" t="s">
        <v>3370</v>
      </c>
    </row>
    <row r="3" spans="1:11" ht="26.4" customHeight="1">
      <c r="A3" s="2496"/>
      <c r="B3" s="1695" t="s">
        <v>25</v>
      </c>
      <c r="C3" s="1272" t="s">
        <v>3371</v>
      </c>
      <c r="D3" s="1272" t="s">
        <v>3372</v>
      </c>
      <c r="E3" s="1272" t="s">
        <v>3373</v>
      </c>
      <c r="F3" s="1272" t="s">
        <v>33</v>
      </c>
      <c r="G3" s="1272" t="s">
        <v>3371</v>
      </c>
      <c r="H3" s="1272" t="s">
        <v>3374</v>
      </c>
      <c r="I3" s="1272" t="s">
        <v>3375</v>
      </c>
      <c r="J3" s="1272" t="s">
        <v>3376</v>
      </c>
      <c r="K3" s="2495"/>
    </row>
    <row r="4" spans="1:11" ht="26.4" customHeight="1">
      <c r="A4" s="1434"/>
      <c r="B4" s="1275" t="s">
        <v>230</v>
      </c>
      <c r="C4" s="1275" t="s">
        <v>230</v>
      </c>
      <c r="D4" s="1275" t="s">
        <v>230</v>
      </c>
      <c r="E4" s="1275" t="s">
        <v>230</v>
      </c>
      <c r="F4" s="1275" t="s">
        <v>230</v>
      </c>
      <c r="G4" s="1275" t="s">
        <v>1471</v>
      </c>
      <c r="H4" s="1275" t="s">
        <v>3377</v>
      </c>
      <c r="I4" s="1275" t="s">
        <v>229</v>
      </c>
      <c r="J4" s="1275" t="s">
        <v>229</v>
      </c>
      <c r="K4" s="1274" t="s">
        <v>1517</v>
      </c>
    </row>
    <row r="5" spans="1:11" ht="26.4" customHeight="1">
      <c r="A5" s="1654" t="s">
        <v>79</v>
      </c>
      <c r="B5" s="1871">
        <v>9</v>
      </c>
      <c r="C5" s="1871">
        <v>5</v>
      </c>
      <c r="D5" s="1872">
        <v>1</v>
      </c>
      <c r="E5" s="1871">
        <v>3</v>
      </c>
      <c r="F5" s="1871" t="s">
        <v>431</v>
      </c>
      <c r="G5" s="1873">
        <v>378</v>
      </c>
      <c r="H5" s="1871">
        <v>8</v>
      </c>
      <c r="I5" s="1871">
        <v>2</v>
      </c>
      <c r="J5" s="1871" t="s">
        <v>431</v>
      </c>
      <c r="K5" s="1874">
        <v>10613</v>
      </c>
    </row>
    <row r="6" spans="1:11" ht="26.4" customHeight="1">
      <c r="A6" s="1851">
        <v>2</v>
      </c>
      <c r="B6" s="1875">
        <v>12</v>
      </c>
      <c r="C6" s="1875">
        <v>5</v>
      </c>
      <c r="D6" s="1876" t="s">
        <v>431</v>
      </c>
      <c r="E6" s="1875">
        <v>1</v>
      </c>
      <c r="F6" s="1875">
        <v>6</v>
      </c>
      <c r="G6" s="1877">
        <v>478</v>
      </c>
      <c r="H6" s="1875">
        <v>27</v>
      </c>
      <c r="I6" s="1875" t="s">
        <v>431</v>
      </c>
      <c r="J6" s="1875">
        <v>2</v>
      </c>
      <c r="K6" s="1878">
        <v>80566</v>
      </c>
    </row>
    <row r="7" spans="1:11" ht="26.4" customHeight="1">
      <c r="A7" s="1851">
        <v>3</v>
      </c>
      <c r="B7" s="1875">
        <v>11</v>
      </c>
      <c r="C7" s="1875">
        <v>5</v>
      </c>
      <c r="D7" s="1876">
        <v>3</v>
      </c>
      <c r="E7" s="1875">
        <v>1</v>
      </c>
      <c r="F7" s="1875">
        <v>2</v>
      </c>
      <c r="G7" s="1877">
        <v>160</v>
      </c>
      <c r="H7" s="1875">
        <v>22</v>
      </c>
      <c r="I7" s="1875">
        <v>1</v>
      </c>
      <c r="J7" s="1875">
        <v>3</v>
      </c>
      <c r="K7" s="1878">
        <v>12767</v>
      </c>
    </row>
    <row r="8" spans="1:11" ht="26.4" customHeight="1">
      <c r="A8" s="1851">
        <v>4</v>
      </c>
      <c r="B8" s="1875">
        <v>10</v>
      </c>
      <c r="C8" s="1875">
        <v>6</v>
      </c>
      <c r="D8" s="1876">
        <v>1</v>
      </c>
      <c r="E8" s="1875">
        <v>1</v>
      </c>
      <c r="F8" s="1875">
        <v>2</v>
      </c>
      <c r="G8" s="1877">
        <v>509</v>
      </c>
      <c r="H8" s="1875">
        <v>48</v>
      </c>
      <c r="I8" s="1875">
        <v>1</v>
      </c>
      <c r="J8" s="1875">
        <v>5</v>
      </c>
      <c r="K8" s="1878">
        <v>9583</v>
      </c>
    </row>
    <row r="9" spans="1:11" ht="26.4" customHeight="1" thickBot="1">
      <c r="A9" s="1601">
        <v>5</v>
      </c>
      <c r="B9" s="1879">
        <v>13</v>
      </c>
      <c r="C9" s="1879">
        <v>7</v>
      </c>
      <c r="D9" s="1880">
        <v>1</v>
      </c>
      <c r="E9" s="1879">
        <v>1</v>
      </c>
      <c r="F9" s="1879">
        <v>4</v>
      </c>
      <c r="G9" s="610">
        <v>128</v>
      </c>
      <c r="H9" s="1879">
        <v>3</v>
      </c>
      <c r="I9" s="1879">
        <v>1</v>
      </c>
      <c r="J9" s="1879">
        <v>2</v>
      </c>
      <c r="K9" s="1425">
        <v>6571</v>
      </c>
    </row>
    <row r="10" spans="1:11" ht="26.4" customHeight="1">
      <c r="A10" s="1236" t="s">
        <v>3365</v>
      </c>
    </row>
  </sheetData>
  <mergeCells count="5">
    <mergeCell ref="A2:A3"/>
    <mergeCell ref="B2:F2"/>
    <mergeCell ref="G2:H2"/>
    <mergeCell ref="I2:J2"/>
    <mergeCell ref="K2:K3"/>
  </mergeCells>
  <phoneticPr fontId="4"/>
  <pageMargins left="0.7" right="0.7" top="0.75" bottom="0.75" header="0.3" footer="0.3"/>
  <pageSetup paperSize="9" scale="9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CA54-9415-4091-998D-99372E6E3F2F}">
  <sheetPr codeName="Sheet76"/>
  <dimension ref="A1:S17"/>
  <sheetViews>
    <sheetView zoomScaleNormal="100" workbookViewId="0"/>
  </sheetViews>
  <sheetFormatPr defaultColWidth="9" defaultRowHeight="10.8"/>
  <cols>
    <col min="1" max="1" width="24.69921875" style="11" customWidth="1"/>
    <col min="2" max="2" width="3.19921875" style="11" customWidth="1"/>
    <col min="3" max="3" width="4.19921875" style="11" customWidth="1"/>
    <col min="4" max="4" width="3.19921875" style="11" customWidth="1"/>
    <col min="5" max="5" width="4.19921875" style="11" customWidth="1"/>
    <col min="6" max="6" width="3.19921875" style="11" customWidth="1"/>
    <col min="7" max="7" width="4.19921875" style="11" customWidth="1"/>
    <col min="8" max="8" width="3.19921875" style="11" customWidth="1"/>
    <col min="9" max="9" width="4.19921875" style="11" customWidth="1"/>
    <col min="10" max="10" width="3.19921875" style="11" customWidth="1"/>
    <col min="11" max="11" width="4.19921875" style="11" customWidth="1"/>
    <col min="12" max="12" width="3.19921875" style="11" customWidth="1"/>
    <col min="13" max="13" width="4.19921875" style="11" customWidth="1"/>
    <col min="14" max="14" width="3.19921875" style="11" customWidth="1"/>
    <col min="15" max="15" width="4.19921875" style="11" customWidth="1"/>
    <col min="16" max="16" width="3.19921875" style="11" customWidth="1"/>
    <col min="17" max="17" width="4.19921875" style="11" customWidth="1"/>
    <col min="18" max="18" width="3.19921875" style="11" customWidth="1"/>
    <col min="19" max="19" width="4.19921875" style="11" customWidth="1"/>
    <col min="20" max="16384" width="9" style="11"/>
  </cols>
  <sheetData>
    <row r="1" spans="1:19" ht="30" customHeight="1" thickBot="1">
      <c r="A1" s="259" t="s">
        <v>1906</v>
      </c>
    </row>
    <row r="2" spans="1:19" ht="28.5" customHeight="1">
      <c r="A2" s="969" t="s">
        <v>1907</v>
      </c>
      <c r="B2" s="2568" t="s">
        <v>1908</v>
      </c>
      <c r="C2" s="2569"/>
      <c r="D2" s="2568" t="s">
        <v>1909</v>
      </c>
      <c r="E2" s="2569"/>
      <c r="F2" s="2568" t="s">
        <v>1910</v>
      </c>
      <c r="G2" s="2569"/>
      <c r="H2" s="2568" t="s">
        <v>1911</v>
      </c>
      <c r="I2" s="2569"/>
      <c r="J2" s="2568" t="s">
        <v>1070</v>
      </c>
      <c r="K2" s="2569"/>
      <c r="L2" s="2568">
        <v>3</v>
      </c>
      <c r="M2" s="2569"/>
      <c r="N2" s="2568">
        <v>4</v>
      </c>
      <c r="O2" s="2569"/>
      <c r="P2" s="2568">
        <v>5</v>
      </c>
      <c r="Q2" s="2738"/>
      <c r="R2" s="2568"/>
      <c r="S2" s="2738"/>
    </row>
    <row r="3" spans="1:19" ht="28.5" customHeight="1">
      <c r="A3" s="2284" t="s">
        <v>1912</v>
      </c>
      <c r="B3" s="2740" t="s">
        <v>1913</v>
      </c>
      <c r="C3" s="2741"/>
      <c r="D3" s="2740" t="s">
        <v>1913</v>
      </c>
      <c r="E3" s="2741"/>
      <c r="F3" s="2740" t="s">
        <v>1913</v>
      </c>
      <c r="G3" s="2741"/>
      <c r="H3" s="2740" t="s">
        <v>1913</v>
      </c>
      <c r="I3" s="2741"/>
      <c r="J3" s="2740" t="s">
        <v>1913</v>
      </c>
      <c r="K3" s="2741"/>
      <c r="L3" s="2740" t="s">
        <v>1913</v>
      </c>
      <c r="M3" s="2741"/>
      <c r="N3" s="2740" t="s">
        <v>1913</v>
      </c>
      <c r="O3" s="2741"/>
      <c r="P3" s="2740" t="s">
        <v>1913</v>
      </c>
      <c r="Q3" s="2742"/>
      <c r="R3" s="2740"/>
      <c r="S3" s="2742"/>
    </row>
    <row r="4" spans="1:19" ht="28.5" customHeight="1">
      <c r="A4" s="2739"/>
      <c r="B4" s="2189">
        <v>63</v>
      </c>
      <c r="C4" s="2182"/>
      <c r="D4" s="2189">
        <v>74</v>
      </c>
      <c r="E4" s="2182"/>
      <c r="F4" s="2189">
        <v>79</v>
      </c>
      <c r="G4" s="2182"/>
      <c r="H4" s="2189">
        <v>80</v>
      </c>
      <c r="I4" s="2182"/>
      <c r="J4" s="2189">
        <v>46</v>
      </c>
      <c r="K4" s="2182"/>
      <c r="L4" s="2189">
        <v>44</v>
      </c>
      <c r="M4" s="2182"/>
      <c r="N4" s="2189">
        <v>61</v>
      </c>
      <c r="O4" s="2182"/>
      <c r="P4" s="2189">
        <v>69</v>
      </c>
      <c r="Q4" s="2196"/>
      <c r="R4" s="2189"/>
      <c r="S4" s="2196"/>
    </row>
    <row r="5" spans="1:19" ht="28.5" customHeight="1">
      <c r="B5" s="2743" t="s">
        <v>452</v>
      </c>
      <c r="C5" s="2744"/>
      <c r="D5" s="2743" t="s">
        <v>452</v>
      </c>
      <c r="E5" s="2744"/>
      <c r="F5" s="2743" t="s">
        <v>452</v>
      </c>
      <c r="G5" s="2744"/>
      <c r="H5" s="2743" t="s">
        <v>452</v>
      </c>
      <c r="I5" s="2744"/>
      <c r="J5" s="2743" t="s">
        <v>452</v>
      </c>
      <c r="K5" s="2744"/>
      <c r="L5" s="2743" t="s">
        <v>452</v>
      </c>
      <c r="M5" s="2744"/>
      <c r="N5" s="2743" t="s">
        <v>452</v>
      </c>
      <c r="O5" s="2744"/>
      <c r="P5" s="2743" t="s">
        <v>452</v>
      </c>
      <c r="Q5" s="2745"/>
      <c r="R5" s="2743"/>
      <c r="S5" s="2745"/>
    </row>
    <row r="6" spans="1:19" ht="28.5" customHeight="1">
      <c r="A6" s="390" t="s">
        <v>1914</v>
      </c>
      <c r="B6" s="2188">
        <v>4</v>
      </c>
      <c r="C6" s="2181"/>
      <c r="D6" s="2188">
        <v>9</v>
      </c>
      <c r="E6" s="2181"/>
      <c r="F6" s="2188">
        <v>11</v>
      </c>
      <c r="G6" s="2181"/>
      <c r="H6" s="2188">
        <v>5</v>
      </c>
      <c r="I6" s="2181"/>
      <c r="J6" s="2188">
        <v>5</v>
      </c>
      <c r="K6" s="2181"/>
      <c r="L6" s="2188">
        <v>8</v>
      </c>
      <c r="M6" s="2181"/>
      <c r="N6" s="2188">
        <v>11</v>
      </c>
      <c r="O6" s="2181"/>
      <c r="P6" s="2188">
        <v>8</v>
      </c>
      <c r="Q6" s="2195"/>
      <c r="R6" s="2188"/>
      <c r="S6" s="2195"/>
    </row>
    <row r="7" spans="1:19" ht="28.5" customHeight="1">
      <c r="A7" s="391" t="s">
        <v>1915</v>
      </c>
      <c r="B7" s="33">
        <v>67</v>
      </c>
      <c r="C7" s="971">
        <v>32</v>
      </c>
      <c r="D7" s="33">
        <v>74</v>
      </c>
      <c r="E7" s="971">
        <v>44</v>
      </c>
      <c r="F7" s="33">
        <v>72</v>
      </c>
      <c r="G7" s="971">
        <v>40</v>
      </c>
      <c r="H7" s="33">
        <v>84</v>
      </c>
      <c r="I7" s="971">
        <v>53</v>
      </c>
      <c r="J7" s="33">
        <v>44</v>
      </c>
      <c r="K7" s="971">
        <v>28</v>
      </c>
      <c r="L7" s="33">
        <v>42</v>
      </c>
      <c r="M7" s="971">
        <v>16</v>
      </c>
      <c r="N7" s="33">
        <v>58</v>
      </c>
      <c r="O7" s="971">
        <v>27</v>
      </c>
      <c r="P7" s="33">
        <v>65</v>
      </c>
      <c r="Q7" s="972">
        <v>46</v>
      </c>
      <c r="R7" s="33"/>
      <c r="S7" s="972"/>
    </row>
    <row r="8" spans="1:19" ht="28.5" customHeight="1">
      <c r="A8" s="390" t="s">
        <v>1916</v>
      </c>
      <c r="B8" s="2189">
        <v>2</v>
      </c>
      <c r="C8" s="2182"/>
      <c r="D8" s="2189">
        <v>2</v>
      </c>
      <c r="E8" s="2182"/>
      <c r="F8" s="2189">
        <v>1</v>
      </c>
      <c r="G8" s="2182"/>
      <c r="H8" s="2189" t="s">
        <v>345</v>
      </c>
      <c r="I8" s="2182"/>
      <c r="J8" s="2189">
        <v>1</v>
      </c>
      <c r="K8" s="2182"/>
      <c r="L8" s="2189" t="s">
        <v>345</v>
      </c>
      <c r="M8" s="2182"/>
      <c r="N8" s="2189" t="s">
        <v>345</v>
      </c>
      <c r="O8" s="2182"/>
      <c r="P8" s="2189">
        <v>2</v>
      </c>
      <c r="Q8" s="2196"/>
      <c r="R8" s="2189"/>
      <c r="S8" s="2196"/>
    </row>
    <row r="9" spans="1:19" ht="28.5" customHeight="1">
      <c r="A9" s="973" t="s">
        <v>1917</v>
      </c>
      <c r="B9" s="2593">
        <v>73</v>
      </c>
      <c r="C9" s="2611"/>
      <c r="D9" s="2593">
        <v>85</v>
      </c>
      <c r="E9" s="2611"/>
      <c r="F9" s="2593">
        <v>84</v>
      </c>
      <c r="G9" s="2611"/>
      <c r="H9" s="2593">
        <v>89</v>
      </c>
      <c r="I9" s="2611"/>
      <c r="J9" s="2593">
        <v>50</v>
      </c>
      <c r="K9" s="2611"/>
      <c r="L9" s="2593">
        <v>50</v>
      </c>
      <c r="M9" s="2611"/>
      <c r="N9" s="2593">
        <v>69</v>
      </c>
      <c r="O9" s="2611"/>
      <c r="P9" s="2593">
        <v>75</v>
      </c>
      <c r="Q9" s="2594"/>
      <c r="R9" s="2593"/>
      <c r="S9" s="2594"/>
    </row>
    <row r="10" spans="1:19" ht="28.5" customHeight="1">
      <c r="A10" s="390" t="s">
        <v>1918</v>
      </c>
      <c r="B10" s="2188">
        <v>32</v>
      </c>
      <c r="C10" s="2181"/>
      <c r="D10" s="2188">
        <v>40</v>
      </c>
      <c r="E10" s="2181"/>
      <c r="F10" s="2188">
        <v>40</v>
      </c>
      <c r="G10" s="2181"/>
      <c r="H10" s="2188">
        <v>48</v>
      </c>
      <c r="I10" s="2181"/>
      <c r="J10" s="2188">
        <v>23</v>
      </c>
      <c r="K10" s="2181"/>
      <c r="L10" s="2188">
        <v>18</v>
      </c>
      <c r="M10" s="2181"/>
      <c r="N10" s="2188">
        <v>29</v>
      </c>
      <c r="O10" s="2181"/>
      <c r="P10" s="2188">
        <v>40</v>
      </c>
      <c r="Q10" s="2195"/>
      <c r="R10" s="2188"/>
      <c r="S10" s="2195"/>
    </row>
    <row r="11" spans="1:19" ht="28.5" customHeight="1">
      <c r="A11" s="390" t="s">
        <v>1919</v>
      </c>
      <c r="B11" s="2188" t="s">
        <v>431</v>
      </c>
      <c r="C11" s="2181"/>
      <c r="D11" s="2188">
        <v>3</v>
      </c>
      <c r="E11" s="2181"/>
      <c r="F11" s="2188">
        <v>1</v>
      </c>
      <c r="G11" s="2181"/>
      <c r="H11" s="2188">
        <v>3</v>
      </c>
      <c r="I11" s="2181"/>
      <c r="J11" s="2188">
        <v>3</v>
      </c>
      <c r="K11" s="2181"/>
      <c r="L11" s="2188">
        <v>1</v>
      </c>
      <c r="M11" s="2181"/>
      <c r="N11" s="2188">
        <v>2</v>
      </c>
      <c r="O11" s="2181"/>
      <c r="P11" s="2188">
        <v>1</v>
      </c>
      <c r="Q11" s="2195"/>
      <c r="R11" s="2188"/>
      <c r="S11" s="2195"/>
    </row>
    <row r="12" spans="1:19" ht="28.5" customHeight="1">
      <c r="A12" s="390" t="s">
        <v>1920</v>
      </c>
      <c r="B12" s="2188" t="s">
        <v>431</v>
      </c>
      <c r="C12" s="2181"/>
      <c r="D12" s="2188">
        <v>2</v>
      </c>
      <c r="E12" s="2181"/>
      <c r="F12" s="2188">
        <v>1</v>
      </c>
      <c r="G12" s="2181"/>
      <c r="H12" s="2188">
        <v>1</v>
      </c>
      <c r="I12" s="2181"/>
      <c r="J12" s="2188">
        <v>2</v>
      </c>
      <c r="K12" s="2181"/>
      <c r="L12" s="2188">
        <v>1</v>
      </c>
      <c r="M12" s="2181"/>
      <c r="N12" s="2188">
        <v>2</v>
      </c>
      <c r="O12" s="2181"/>
      <c r="P12" s="2188">
        <v>4</v>
      </c>
      <c r="Q12" s="2195"/>
      <c r="R12" s="2188"/>
      <c r="S12" s="2195"/>
    </row>
    <row r="13" spans="1:19" ht="28.5" customHeight="1">
      <c r="A13" s="390" t="s">
        <v>1921</v>
      </c>
      <c r="B13" s="2188">
        <v>16</v>
      </c>
      <c r="C13" s="2181"/>
      <c r="D13" s="2188">
        <v>23</v>
      </c>
      <c r="E13" s="2181"/>
      <c r="F13" s="2188">
        <v>9</v>
      </c>
      <c r="G13" s="2181"/>
      <c r="H13" s="2188">
        <v>6</v>
      </c>
      <c r="I13" s="2181"/>
      <c r="J13" s="2188">
        <v>5</v>
      </c>
      <c r="K13" s="2181"/>
      <c r="L13" s="2188">
        <v>6</v>
      </c>
      <c r="M13" s="2181"/>
      <c r="N13" s="2188">
        <v>11</v>
      </c>
      <c r="O13" s="2181"/>
      <c r="P13" s="2188">
        <v>3</v>
      </c>
      <c r="Q13" s="2195"/>
      <c r="R13" s="2188"/>
      <c r="S13" s="2195"/>
    </row>
    <row r="14" spans="1:19" ht="28.5" customHeight="1">
      <c r="A14" s="390" t="s">
        <v>1922</v>
      </c>
      <c r="B14" s="2188">
        <v>5</v>
      </c>
      <c r="C14" s="2181"/>
      <c r="D14" s="2188">
        <v>6</v>
      </c>
      <c r="E14" s="2181"/>
      <c r="F14" s="2188">
        <v>7</v>
      </c>
      <c r="G14" s="2181"/>
      <c r="H14" s="2188">
        <v>7</v>
      </c>
      <c r="I14" s="2181"/>
      <c r="J14" s="2188">
        <v>3</v>
      </c>
      <c r="K14" s="2181"/>
      <c r="L14" s="2188">
        <v>4</v>
      </c>
      <c r="M14" s="2181"/>
      <c r="N14" s="2188">
        <v>4</v>
      </c>
      <c r="O14" s="2181"/>
      <c r="P14" s="2188">
        <v>4</v>
      </c>
      <c r="Q14" s="2195"/>
      <c r="R14" s="2188"/>
      <c r="S14" s="2195"/>
    </row>
    <row r="15" spans="1:19" ht="28.5" customHeight="1">
      <c r="A15" s="390" t="s">
        <v>1923</v>
      </c>
      <c r="B15" s="2188">
        <v>9</v>
      </c>
      <c r="C15" s="2181"/>
      <c r="D15" s="2188">
        <v>3</v>
      </c>
      <c r="E15" s="2181"/>
      <c r="F15" s="2188">
        <v>12</v>
      </c>
      <c r="G15" s="2181"/>
      <c r="H15" s="2188">
        <v>4</v>
      </c>
      <c r="I15" s="2181"/>
      <c r="J15" s="2188">
        <v>5</v>
      </c>
      <c r="K15" s="2181"/>
      <c r="L15" s="2188">
        <v>9</v>
      </c>
      <c r="M15" s="2181"/>
      <c r="N15" s="2188">
        <v>8</v>
      </c>
      <c r="O15" s="2181"/>
      <c r="P15" s="2188">
        <v>12</v>
      </c>
      <c r="Q15" s="2195"/>
      <c r="R15" s="2188"/>
      <c r="S15" s="2195"/>
    </row>
    <row r="16" spans="1:19" ht="28.5" customHeight="1" thickBot="1">
      <c r="A16" s="396" t="s">
        <v>1924</v>
      </c>
      <c r="B16" s="2746">
        <v>7</v>
      </c>
      <c r="C16" s="2669"/>
      <c r="D16" s="2746">
        <v>8</v>
      </c>
      <c r="E16" s="2669"/>
      <c r="F16" s="2746">
        <v>14</v>
      </c>
      <c r="G16" s="2669"/>
      <c r="H16" s="2746">
        <v>11</v>
      </c>
      <c r="I16" s="2669"/>
      <c r="J16" s="2746">
        <v>5</v>
      </c>
      <c r="K16" s="2669"/>
      <c r="L16" s="2746">
        <v>5</v>
      </c>
      <c r="M16" s="2669"/>
      <c r="N16" s="2746">
        <v>5</v>
      </c>
      <c r="O16" s="2669"/>
      <c r="P16" s="2746">
        <v>5</v>
      </c>
      <c r="Q16" s="2747"/>
      <c r="R16" s="2746"/>
      <c r="S16" s="2747"/>
    </row>
    <row r="17" spans="1:1" ht="28.5" customHeight="1">
      <c r="A17" s="11" t="s">
        <v>1925</v>
      </c>
    </row>
  </sheetData>
  <mergeCells count="127">
    <mergeCell ref="N16:O16"/>
    <mergeCell ref="P16:Q16"/>
    <mergeCell ref="R16:S16"/>
    <mergeCell ref="B16:C16"/>
    <mergeCell ref="D16:E16"/>
    <mergeCell ref="F16:G16"/>
    <mergeCell ref="H16:I16"/>
    <mergeCell ref="J16:K16"/>
    <mergeCell ref="L16:M16"/>
    <mergeCell ref="B15:C15"/>
    <mergeCell ref="D15:E15"/>
    <mergeCell ref="F15:G15"/>
    <mergeCell ref="H15:I15"/>
    <mergeCell ref="J15:K15"/>
    <mergeCell ref="L15:M15"/>
    <mergeCell ref="N15:O15"/>
    <mergeCell ref="P15:Q15"/>
    <mergeCell ref="R15:S15"/>
    <mergeCell ref="B14:C14"/>
    <mergeCell ref="D14:E14"/>
    <mergeCell ref="F14:G14"/>
    <mergeCell ref="H14:I14"/>
    <mergeCell ref="J14:K14"/>
    <mergeCell ref="L14:M14"/>
    <mergeCell ref="N14:O14"/>
    <mergeCell ref="P14:Q14"/>
    <mergeCell ref="R14:S14"/>
    <mergeCell ref="N12:O12"/>
    <mergeCell ref="P12:Q12"/>
    <mergeCell ref="R12:S12"/>
    <mergeCell ref="B13:C13"/>
    <mergeCell ref="D13:E13"/>
    <mergeCell ref="F13:G13"/>
    <mergeCell ref="H13:I13"/>
    <mergeCell ref="J13:K13"/>
    <mergeCell ref="L13:M13"/>
    <mergeCell ref="N13:O13"/>
    <mergeCell ref="B12:C12"/>
    <mergeCell ref="D12:E12"/>
    <mergeCell ref="F12:G12"/>
    <mergeCell ref="H12:I12"/>
    <mergeCell ref="J12:K12"/>
    <mergeCell ref="L12:M12"/>
    <mergeCell ref="P13:Q13"/>
    <mergeCell ref="R13:S13"/>
    <mergeCell ref="B11:C11"/>
    <mergeCell ref="D11:E11"/>
    <mergeCell ref="F11:G11"/>
    <mergeCell ref="H11:I11"/>
    <mergeCell ref="J11:K11"/>
    <mergeCell ref="L11:M11"/>
    <mergeCell ref="N11:O11"/>
    <mergeCell ref="P11:Q11"/>
    <mergeCell ref="R11:S11"/>
    <mergeCell ref="B10:C10"/>
    <mergeCell ref="D10:E10"/>
    <mergeCell ref="F10:G10"/>
    <mergeCell ref="H10:I10"/>
    <mergeCell ref="J10:K10"/>
    <mergeCell ref="L10:M10"/>
    <mergeCell ref="N10:O10"/>
    <mergeCell ref="P10:Q10"/>
    <mergeCell ref="R10:S10"/>
    <mergeCell ref="N8:O8"/>
    <mergeCell ref="P8:Q8"/>
    <mergeCell ref="R8:S8"/>
    <mergeCell ref="B9:C9"/>
    <mergeCell ref="D9:E9"/>
    <mergeCell ref="F9:G9"/>
    <mergeCell ref="H9:I9"/>
    <mergeCell ref="J9:K9"/>
    <mergeCell ref="L9:M9"/>
    <mergeCell ref="N9:O9"/>
    <mergeCell ref="B8:C8"/>
    <mergeCell ref="D8:E8"/>
    <mergeCell ref="F8:G8"/>
    <mergeCell ref="H8:I8"/>
    <mergeCell ref="J8:K8"/>
    <mergeCell ref="L8:M8"/>
    <mergeCell ref="P9:Q9"/>
    <mergeCell ref="R9:S9"/>
    <mergeCell ref="B6:C6"/>
    <mergeCell ref="D6:E6"/>
    <mergeCell ref="F6:G6"/>
    <mergeCell ref="H6:I6"/>
    <mergeCell ref="J6:K6"/>
    <mergeCell ref="L6:M6"/>
    <mergeCell ref="N6:O6"/>
    <mergeCell ref="P6:Q6"/>
    <mergeCell ref="R6:S6"/>
    <mergeCell ref="L4:M4"/>
    <mergeCell ref="N4:O4"/>
    <mergeCell ref="P4:Q4"/>
    <mergeCell ref="R4:S4"/>
    <mergeCell ref="B5:C5"/>
    <mergeCell ref="D5:E5"/>
    <mergeCell ref="F5:G5"/>
    <mergeCell ref="H5:I5"/>
    <mergeCell ref="J5:K5"/>
    <mergeCell ref="L5:M5"/>
    <mergeCell ref="N5:O5"/>
    <mergeCell ref="P5:Q5"/>
    <mergeCell ref="R5:S5"/>
    <mergeCell ref="N2:O2"/>
    <mergeCell ref="P2:Q2"/>
    <mergeCell ref="R2:S2"/>
    <mergeCell ref="A3:A4"/>
    <mergeCell ref="B3:C3"/>
    <mergeCell ref="D3:E3"/>
    <mergeCell ref="F3:G3"/>
    <mergeCell ref="H3:I3"/>
    <mergeCell ref="J3:K3"/>
    <mergeCell ref="L3:M3"/>
    <mergeCell ref="B2:C2"/>
    <mergeCell ref="D2:E2"/>
    <mergeCell ref="F2:G2"/>
    <mergeCell ref="H2:I2"/>
    <mergeCell ref="J2:K2"/>
    <mergeCell ref="L2:M2"/>
    <mergeCell ref="N3:O3"/>
    <mergeCell ref="P3:Q3"/>
    <mergeCell ref="R3:S3"/>
    <mergeCell ref="B4:C4"/>
    <mergeCell ref="D4:E4"/>
    <mergeCell ref="F4:G4"/>
    <mergeCell ref="H4:I4"/>
    <mergeCell ref="J4:K4"/>
  </mergeCells>
  <phoneticPr fontId="4"/>
  <pageMargins left="0.78700000000000003" right="0.78700000000000003" top="0.98399999999999999" bottom="0.98399999999999999" header="0.51200000000000001" footer="0.51200000000000001"/>
  <pageSetup paperSize="9" scale="91" orientation="landscape" r:id="rId1"/>
  <headerFooter alignWithMargins="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98F4C-5F54-45C5-9524-364228BE21F6}">
  <sheetPr codeName="Sheet77"/>
  <dimension ref="A1:C26"/>
  <sheetViews>
    <sheetView showGridLines="0" workbookViewId="0">
      <selection activeCell="F12" sqref="F12"/>
    </sheetView>
  </sheetViews>
  <sheetFormatPr defaultColWidth="9" defaultRowHeight="10.8"/>
  <cols>
    <col min="1" max="3" width="13" style="11" customWidth="1"/>
    <col min="4" max="16384" width="9" style="11"/>
  </cols>
  <sheetData>
    <row r="1" spans="1:3" ht="30" customHeight="1" thickBot="1">
      <c r="A1" s="259" t="s">
        <v>1926</v>
      </c>
    </row>
    <row r="2" spans="1:3" ht="23.25" customHeight="1">
      <c r="A2" s="2185" t="s">
        <v>837</v>
      </c>
      <c r="B2" s="2572" t="s">
        <v>843</v>
      </c>
      <c r="C2" s="2183"/>
    </row>
    <row r="3" spans="1:3" ht="23.25" customHeight="1">
      <c r="A3" s="2611"/>
      <c r="B3" s="130" t="s">
        <v>845</v>
      </c>
      <c r="C3" s="159" t="s">
        <v>1927</v>
      </c>
    </row>
    <row r="4" spans="1:3" ht="23.25" customHeight="1">
      <c r="A4" s="253"/>
      <c r="B4" s="98" t="s">
        <v>230</v>
      </c>
      <c r="C4" s="33" t="s">
        <v>1026</v>
      </c>
    </row>
    <row r="5" spans="1:3" ht="23.25" customHeight="1">
      <c r="A5" s="162" t="s">
        <v>319</v>
      </c>
      <c r="B5" s="229">
        <v>1310</v>
      </c>
      <c r="C5" s="433" t="str">
        <f>+IFERROR(B5/#REF!*100,"…")</f>
        <v>…</v>
      </c>
    </row>
    <row r="6" spans="1:3" ht="23.25" customHeight="1">
      <c r="A6" s="162">
        <v>28</v>
      </c>
      <c r="B6" s="229">
        <v>1092</v>
      </c>
      <c r="C6" s="433" t="str">
        <f>+IFERROR(B6/#REF!*100,"…")</f>
        <v>…</v>
      </c>
    </row>
    <row r="7" spans="1:3" ht="23.25" customHeight="1">
      <c r="A7" s="162">
        <v>29</v>
      </c>
      <c r="B7" s="229">
        <v>1089</v>
      </c>
      <c r="C7" s="433">
        <v>99.72527472527473</v>
      </c>
    </row>
    <row r="8" spans="1:3" ht="23.25" customHeight="1">
      <c r="A8" s="162">
        <v>30</v>
      </c>
      <c r="B8" s="229">
        <v>703</v>
      </c>
      <c r="C8" s="433">
        <v>64.554637281910004</v>
      </c>
    </row>
    <row r="9" spans="1:3" ht="23.25" customHeight="1">
      <c r="A9" s="162" t="s">
        <v>79</v>
      </c>
      <c r="B9" s="229">
        <v>696</v>
      </c>
      <c r="C9" s="433">
        <v>99.004267425320052</v>
      </c>
    </row>
    <row r="10" spans="1:3" ht="23.25" customHeight="1">
      <c r="A10" s="162">
        <v>2</v>
      </c>
      <c r="B10" s="229">
        <v>635</v>
      </c>
      <c r="C10" s="433">
        <v>91.235632183908038</v>
      </c>
    </row>
    <row r="11" spans="1:3" ht="23.25" customHeight="1">
      <c r="A11" s="162">
        <v>3</v>
      </c>
      <c r="B11" s="976">
        <v>453</v>
      </c>
      <c r="C11" s="433">
        <f>+B11/B10*100</f>
        <v>71.338582677165348</v>
      </c>
    </row>
    <row r="12" spans="1:3" ht="23.25" customHeight="1">
      <c r="A12" s="162">
        <v>4</v>
      </c>
      <c r="B12" s="976">
        <v>721</v>
      </c>
      <c r="C12" s="433">
        <f>+B12/B11*100</f>
        <v>159.16114790286974</v>
      </c>
    </row>
    <row r="13" spans="1:3" ht="23.25" customHeight="1">
      <c r="A13" s="162">
        <v>5</v>
      </c>
      <c r="B13" s="976">
        <v>399</v>
      </c>
      <c r="C13" s="433">
        <f>+B13/B12*100</f>
        <v>55.339805825242713</v>
      </c>
    </row>
    <row r="14" spans="1:3" s="171" customFormat="1" ht="23.25" customHeight="1" thickBot="1">
      <c r="A14" s="168"/>
      <c r="B14" s="452"/>
      <c r="C14" s="978"/>
    </row>
    <row r="15" spans="1:3" ht="23.25" customHeight="1">
      <c r="A15" s="11" t="s">
        <v>1928</v>
      </c>
    </row>
    <row r="16" spans="1:3" ht="23.25" customHeight="1">
      <c r="A16" s="11" t="s">
        <v>1929</v>
      </c>
    </row>
    <row r="17" ht="23.25" customHeight="1"/>
    <row r="18" ht="23.25" customHeight="1"/>
    <row r="19" ht="15.75" customHeight="1"/>
    <row r="20" ht="15.75" customHeight="1"/>
    <row r="21" ht="15.75" customHeight="1"/>
    <row r="22" ht="15.75" customHeight="1"/>
    <row r="23" ht="15.75" customHeight="1"/>
    <row r="24" ht="15.75" customHeight="1"/>
    <row r="25" ht="15.75" customHeight="1"/>
    <row r="26" ht="15.75" customHeight="1"/>
  </sheetData>
  <mergeCells count="2">
    <mergeCell ref="A2:A3"/>
    <mergeCell ref="B2:C2"/>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B0EC0-40C1-4A60-B5D1-90FBB4551A08}">
  <sheetPr codeName="Sheet78">
    <pageSetUpPr fitToPage="1"/>
  </sheetPr>
  <dimension ref="A1:H17"/>
  <sheetViews>
    <sheetView showGridLines="0" workbookViewId="0"/>
  </sheetViews>
  <sheetFormatPr defaultColWidth="9" defaultRowHeight="10.8"/>
  <cols>
    <col min="1" max="1" width="9.59765625" style="11" customWidth="1"/>
    <col min="2" max="8" width="11" style="11" customWidth="1"/>
    <col min="9" max="16384" width="9" style="11"/>
  </cols>
  <sheetData>
    <row r="1" spans="1:8" ht="30" customHeight="1" thickBot="1">
      <c r="A1" s="259" t="s">
        <v>1930</v>
      </c>
    </row>
    <row r="2" spans="1:8" ht="24.75" customHeight="1">
      <c r="A2" s="2185" t="s">
        <v>1931</v>
      </c>
      <c r="B2" s="2572" t="s">
        <v>1932</v>
      </c>
      <c r="C2" s="2572"/>
      <c r="D2" s="2572"/>
      <c r="E2" s="2572" t="s">
        <v>1933</v>
      </c>
      <c r="F2" s="2572"/>
      <c r="G2" s="2572"/>
      <c r="H2" s="2183"/>
    </row>
    <row r="3" spans="1:8" ht="24.75" customHeight="1">
      <c r="A3" s="2611"/>
      <c r="B3" s="130" t="s">
        <v>378</v>
      </c>
      <c r="C3" s="130" t="s">
        <v>1934</v>
      </c>
      <c r="D3" s="130" t="s">
        <v>1935</v>
      </c>
      <c r="E3" s="130" t="s">
        <v>378</v>
      </c>
      <c r="F3" s="130" t="s">
        <v>1936</v>
      </c>
      <c r="G3" s="979" t="s">
        <v>1937</v>
      </c>
      <c r="H3" s="159" t="s">
        <v>1938</v>
      </c>
    </row>
    <row r="4" spans="1:8" ht="24.75" customHeight="1">
      <c r="B4" s="86" t="s">
        <v>229</v>
      </c>
      <c r="C4" s="86" t="s">
        <v>229</v>
      </c>
      <c r="D4" s="86" t="s">
        <v>229</v>
      </c>
      <c r="E4" s="86" t="s">
        <v>230</v>
      </c>
      <c r="F4" s="86" t="s">
        <v>230</v>
      </c>
      <c r="G4" s="86" t="s">
        <v>230</v>
      </c>
      <c r="H4" s="39" t="s">
        <v>230</v>
      </c>
    </row>
    <row r="5" spans="1:8" ht="24.75" customHeight="1">
      <c r="A5" s="162" t="s">
        <v>319</v>
      </c>
      <c r="B5" s="256">
        <v>282</v>
      </c>
      <c r="C5" s="256">
        <v>1</v>
      </c>
      <c r="D5" s="256">
        <v>281</v>
      </c>
      <c r="E5" s="256">
        <v>208</v>
      </c>
      <c r="F5" s="256">
        <v>188</v>
      </c>
      <c r="G5" s="256">
        <v>7</v>
      </c>
      <c r="H5" s="240">
        <v>13</v>
      </c>
    </row>
    <row r="6" spans="1:8" ht="24.75" customHeight="1">
      <c r="A6" s="162">
        <v>28</v>
      </c>
      <c r="B6" s="256">
        <v>234</v>
      </c>
      <c r="C6" s="256">
        <v>4</v>
      </c>
      <c r="D6" s="256">
        <v>230</v>
      </c>
      <c r="E6" s="256">
        <v>177</v>
      </c>
      <c r="F6" s="256">
        <v>155</v>
      </c>
      <c r="G6" s="256">
        <v>7</v>
      </c>
      <c r="H6" s="240">
        <v>15</v>
      </c>
    </row>
    <row r="7" spans="1:8" ht="24.75" customHeight="1">
      <c r="A7" s="162">
        <v>29</v>
      </c>
      <c r="B7" s="256">
        <v>260</v>
      </c>
      <c r="C7" s="256">
        <v>5</v>
      </c>
      <c r="D7" s="256">
        <v>255</v>
      </c>
      <c r="E7" s="256">
        <v>190</v>
      </c>
      <c r="F7" s="546">
        <v>185</v>
      </c>
      <c r="G7" s="546">
        <v>1</v>
      </c>
      <c r="H7" s="541">
        <v>4</v>
      </c>
    </row>
    <row r="8" spans="1:8" ht="24.75" customHeight="1">
      <c r="A8" s="162">
        <v>30</v>
      </c>
      <c r="B8" s="256">
        <v>218</v>
      </c>
      <c r="C8" s="256">
        <v>3</v>
      </c>
      <c r="D8" s="256">
        <v>215</v>
      </c>
      <c r="E8" s="256">
        <v>153</v>
      </c>
      <c r="F8" s="546">
        <v>149</v>
      </c>
      <c r="G8" s="546">
        <v>2</v>
      </c>
      <c r="H8" s="541">
        <v>2</v>
      </c>
    </row>
    <row r="9" spans="1:8" ht="24.75" customHeight="1">
      <c r="A9" s="162" t="s">
        <v>79</v>
      </c>
      <c r="B9" s="256">
        <v>203</v>
      </c>
      <c r="C9" s="256">
        <v>1</v>
      </c>
      <c r="D9" s="256">
        <v>202</v>
      </c>
      <c r="E9" s="256">
        <v>150</v>
      </c>
      <c r="F9" s="546">
        <v>145</v>
      </c>
      <c r="G9" s="546">
        <v>2</v>
      </c>
      <c r="H9" s="541">
        <v>3</v>
      </c>
    </row>
    <row r="10" spans="1:8" ht="24.75" customHeight="1">
      <c r="A10" s="162">
        <v>2</v>
      </c>
      <c r="B10" s="724">
        <v>142</v>
      </c>
      <c r="C10" s="724">
        <v>3</v>
      </c>
      <c r="D10" s="724">
        <v>139</v>
      </c>
      <c r="E10" s="724">
        <v>117</v>
      </c>
      <c r="F10" s="724">
        <v>115</v>
      </c>
      <c r="G10" s="724">
        <v>1</v>
      </c>
      <c r="H10" s="727">
        <v>1</v>
      </c>
    </row>
    <row r="11" spans="1:8" ht="24.75" customHeight="1">
      <c r="A11" s="162">
        <v>3</v>
      </c>
      <c r="B11" s="724">
        <v>118</v>
      </c>
      <c r="C11" s="724">
        <v>3</v>
      </c>
      <c r="D11" s="724">
        <v>115</v>
      </c>
      <c r="E11" s="724">
        <v>91</v>
      </c>
      <c r="F11" s="724">
        <v>88</v>
      </c>
      <c r="G11" s="724">
        <v>3</v>
      </c>
      <c r="H11" s="727">
        <v>0</v>
      </c>
    </row>
    <row r="12" spans="1:8" ht="24.75" customHeight="1">
      <c r="A12" s="162">
        <v>4</v>
      </c>
      <c r="B12" s="724">
        <v>145</v>
      </c>
      <c r="C12" s="724">
        <v>4</v>
      </c>
      <c r="D12" s="724">
        <v>141</v>
      </c>
      <c r="E12" s="724">
        <v>110</v>
      </c>
      <c r="F12" s="724">
        <v>105</v>
      </c>
      <c r="G12" s="724">
        <v>1</v>
      </c>
      <c r="H12" s="727">
        <v>4</v>
      </c>
    </row>
    <row r="13" spans="1:8" ht="24.75" customHeight="1">
      <c r="A13" s="162">
        <v>5</v>
      </c>
      <c r="B13" s="724">
        <v>108</v>
      </c>
      <c r="C13" s="724">
        <v>1</v>
      </c>
      <c r="D13" s="724">
        <v>107</v>
      </c>
      <c r="E13" s="724">
        <v>78</v>
      </c>
      <c r="F13" s="724">
        <v>75</v>
      </c>
      <c r="G13" s="724">
        <v>2</v>
      </c>
      <c r="H13" s="727">
        <v>0</v>
      </c>
    </row>
    <row r="14" spans="1:8" ht="24.75" customHeight="1" thickBot="1">
      <c r="A14" s="977"/>
      <c r="B14" s="535"/>
      <c r="C14" s="535"/>
      <c r="D14" s="535"/>
      <c r="E14" s="535"/>
      <c r="F14" s="535"/>
      <c r="G14" s="535"/>
      <c r="H14" s="481"/>
    </row>
    <row r="15" spans="1:8" ht="24.75" customHeight="1">
      <c r="A15" s="11" t="s">
        <v>1939</v>
      </c>
    </row>
    <row r="16" spans="1:8" ht="24.75" customHeight="1"/>
    <row r="17" ht="24.75" customHeight="1"/>
  </sheetData>
  <mergeCells count="3">
    <mergeCell ref="A2:A3"/>
    <mergeCell ref="B2:D2"/>
    <mergeCell ref="E2:H2"/>
  </mergeCells>
  <phoneticPr fontId="4"/>
  <pageMargins left="0.78700000000000003" right="0.78700000000000003" top="0.98399999999999999" bottom="0.98399999999999999" header="0.51200000000000001" footer="0.51200000000000001"/>
  <pageSetup paperSize="9" scale="90" orientation="portrait" r:id="rId1"/>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8CB0B-CF4E-482D-879C-E94B6FCABDAC}">
  <sheetPr codeName="Sheet79">
    <pageSetUpPr fitToPage="1"/>
  </sheetPr>
  <dimension ref="A1:L15"/>
  <sheetViews>
    <sheetView showGridLines="0" workbookViewId="0"/>
  </sheetViews>
  <sheetFormatPr defaultColWidth="9" defaultRowHeight="10.8"/>
  <cols>
    <col min="1" max="1" width="9.09765625" style="11" customWidth="1"/>
    <col min="2" max="2" width="4.5" style="11" bestFit="1" customWidth="1"/>
    <col min="3" max="3" width="6" style="11" customWidth="1"/>
    <col min="4" max="12" width="7.5" style="11" customWidth="1"/>
    <col min="13" max="16384" width="9" style="11"/>
  </cols>
  <sheetData>
    <row r="1" spans="1:12" ht="30" customHeight="1" thickBot="1">
      <c r="A1" s="259" t="s">
        <v>1940</v>
      </c>
    </row>
    <row r="2" spans="1:12" ht="13.5" customHeight="1">
      <c r="A2" s="2185" t="s">
        <v>1941</v>
      </c>
      <c r="B2" s="2572" t="s">
        <v>504</v>
      </c>
      <c r="C2" s="2572" t="s">
        <v>25</v>
      </c>
      <c r="D2" s="2533" t="s">
        <v>1942</v>
      </c>
      <c r="E2" s="2534"/>
      <c r="F2" s="2534"/>
      <c r="G2" s="2535"/>
      <c r="H2" s="2533" t="s">
        <v>1943</v>
      </c>
      <c r="I2" s="2534"/>
      <c r="J2" s="2534"/>
      <c r="K2" s="2534"/>
      <c r="L2" s="2534"/>
    </row>
    <row r="3" spans="1:12" ht="24.75" customHeight="1">
      <c r="A3" s="2611"/>
      <c r="B3" s="2612"/>
      <c r="C3" s="2612"/>
      <c r="D3" s="980" t="s">
        <v>1944</v>
      </c>
      <c r="E3" s="980" t="s">
        <v>1945</v>
      </c>
      <c r="F3" s="980" t="s">
        <v>1946</v>
      </c>
      <c r="G3" s="980" t="s">
        <v>1947</v>
      </c>
      <c r="H3" s="980" t="s">
        <v>1948</v>
      </c>
      <c r="I3" s="980" t="s">
        <v>1949</v>
      </c>
      <c r="J3" s="980" t="s">
        <v>1950</v>
      </c>
      <c r="K3" s="980" t="s">
        <v>1951</v>
      </c>
      <c r="L3" s="772" t="s">
        <v>1952</v>
      </c>
    </row>
    <row r="4" spans="1:12" ht="15" customHeight="1">
      <c r="A4" s="2748" t="s">
        <v>1953</v>
      </c>
      <c r="B4" s="245" t="s">
        <v>1954</v>
      </c>
      <c r="C4" s="981">
        <v>203</v>
      </c>
      <c r="D4" s="982" t="s">
        <v>431</v>
      </c>
      <c r="E4" s="982" t="s">
        <v>431</v>
      </c>
      <c r="F4" s="982" t="s">
        <v>431</v>
      </c>
      <c r="G4" s="982" t="s">
        <v>431</v>
      </c>
      <c r="H4" s="982">
        <v>12</v>
      </c>
      <c r="I4" s="982">
        <v>155</v>
      </c>
      <c r="J4" s="982">
        <v>8</v>
      </c>
      <c r="K4" s="982" t="s">
        <v>431</v>
      </c>
      <c r="L4" s="983">
        <v>24</v>
      </c>
    </row>
    <row r="5" spans="1:12" ht="15" customHeight="1">
      <c r="A5" s="2749"/>
      <c r="B5" s="246" t="s">
        <v>1955</v>
      </c>
      <c r="C5" s="984">
        <v>112</v>
      </c>
      <c r="D5" s="985" t="s">
        <v>431</v>
      </c>
      <c r="E5" s="985" t="s">
        <v>431</v>
      </c>
      <c r="F5" s="985" t="s">
        <v>431</v>
      </c>
      <c r="G5" s="985" t="s">
        <v>431</v>
      </c>
      <c r="H5" s="985">
        <v>13</v>
      </c>
      <c r="I5" s="985">
        <v>85</v>
      </c>
      <c r="J5" s="985">
        <v>2</v>
      </c>
      <c r="K5" s="985" t="s">
        <v>431</v>
      </c>
      <c r="L5" s="986">
        <v>10</v>
      </c>
    </row>
    <row r="6" spans="1:12" ht="15" customHeight="1">
      <c r="A6" s="2750">
        <v>3</v>
      </c>
      <c r="B6" s="245" t="s">
        <v>1954</v>
      </c>
      <c r="C6" s="981">
        <v>254</v>
      </c>
      <c r="D6" s="982" t="s">
        <v>431</v>
      </c>
      <c r="E6" s="982">
        <v>3</v>
      </c>
      <c r="F6" s="982" t="s">
        <v>431</v>
      </c>
      <c r="G6" s="982" t="s">
        <v>431</v>
      </c>
      <c r="H6" s="982">
        <v>8</v>
      </c>
      <c r="I6" s="982">
        <v>186</v>
      </c>
      <c r="J6" s="982">
        <v>22</v>
      </c>
      <c r="K6" s="982" t="s">
        <v>431</v>
      </c>
      <c r="L6" s="983">
        <v>35</v>
      </c>
    </row>
    <row r="7" spans="1:12" ht="15" customHeight="1">
      <c r="A7" s="2751"/>
      <c r="B7" s="246" t="s">
        <v>1955</v>
      </c>
      <c r="C7" s="984">
        <v>206</v>
      </c>
      <c r="D7" s="985" t="s">
        <v>431</v>
      </c>
      <c r="E7" s="985">
        <v>1</v>
      </c>
      <c r="F7" s="985" t="s">
        <v>431</v>
      </c>
      <c r="G7" s="985" t="s">
        <v>431</v>
      </c>
      <c r="H7" s="985">
        <v>7</v>
      </c>
      <c r="I7" s="985">
        <v>170</v>
      </c>
      <c r="J7" s="985">
        <v>15</v>
      </c>
      <c r="K7" s="985" t="s">
        <v>431</v>
      </c>
      <c r="L7" s="986">
        <v>13</v>
      </c>
    </row>
    <row r="8" spans="1:12" ht="15" customHeight="1">
      <c r="A8" s="2750">
        <v>4</v>
      </c>
      <c r="B8" s="245" t="s">
        <v>1954</v>
      </c>
      <c r="C8" s="981">
        <v>167</v>
      </c>
      <c r="D8" s="982" t="s">
        <v>431</v>
      </c>
      <c r="E8" s="982">
        <v>1</v>
      </c>
      <c r="F8" s="982" t="s">
        <v>431</v>
      </c>
      <c r="G8" s="982" t="s">
        <v>431</v>
      </c>
      <c r="H8" s="982">
        <v>11</v>
      </c>
      <c r="I8" s="982">
        <v>136</v>
      </c>
      <c r="J8" s="982">
        <v>7</v>
      </c>
      <c r="K8" s="982" t="s">
        <v>431</v>
      </c>
      <c r="L8" s="983">
        <v>12</v>
      </c>
    </row>
    <row r="9" spans="1:12" ht="15" customHeight="1">
      <c r="A9" s="2751"/>
      <c r="B9" s="246" t="s">
        <v>1955</v>
      </c>
      <c r="C9" s="984">
        <v>96</v>
      </c>
      <c r="D9" s="985" t="s">
        <v>431</v>
      </c>
      <c r="E9" s="985">
        <v>1</v>
      </c>
      <c r="F9" s="985" t="s">
        <v>431</v>
      </c>
      <c r="G9" s="985" t="s">
        <v>431</v>
      </c>
      <c r="H9" s="985">
        <v>8</v>
      </c>
      <c r="I9" s="985">
        <v>74</v>
      </c>
      <c r="J9" s="985">
        <v>5</v>
      </c>
      <c r="K9" s="985" t="s">
        <v>431</v>
      </c>
      <c r="L9" s="986">
        <v>8</v>
      </c>
    </row>
    <row r="10" spans="1:12" ht="15" customHeight="1">
      <c r="A10" s="2750">
        <v>5</v>
      </c>
      <c r="B10" s="245" t="s">
        <v>1954</v>
      </c>
      <c r="C10" s="981">
        <v>216</v>
      </c>
      <c r="D10" s="982" t="s">
        <v>431</v>
      </c>
      <c r="E10" s="982" t="s">
        <v>431</v>
      </c>
      <c r="F10" s="982" t="s">
        <v>431</v>
      </c>
      <c r="G10" s="982">
        <v>1</v>
      </c>
      <c r="H10" s="982">
        <v>6</v>
      </c>
      <c r="I10" s="982">
        <v>157</v>
      </c>
      <c r="J10" s="982">
        <v>24</v>
      </c>
      <c r="K10" s="982">
        <v>3</v>
      </c>
      <c r="L10" s="983">
        <v>25</v>
      </c>
    </row>
    <row r="11" spans="1:12" ht="15" customHeight="1">
      <c r="A11" s="2751"/>
      <c r="B11" s="246" t="s">
        <v>1955</v>
      </c>
      <c r="C11" s="984">
        <v>112</v>
      </c>
      <c r="D11" s="985" t="s">
        <v>431</v>
      </c>
      <c r="E11" s="985" t="s">
        <v>431</v>
      </c>
      <c r="F11" s="985" t="s">
        <v>431</v>
      </c>
      <c r="G11" s="985">
        <v>1</v>
      </c>
      <c r="H11" s="985">
        <v>7</v>
      </c>
      <c r="I11" s="985">
        <v>96</v>
      </c>
      <c r="J11" s="985">
        <v>1</v>
      </c>
      <c r="K11" s="985" t="s">
        <v>431</v>
      </c>
      <c r="L11" s="986">
        <v>7</v>
      </c>
    </row>
    <row r="12" spans="1:12" ht="15" customHeight="1">
      <c r="A12" s="2752"/>
      <c r="B12" s="256"/>
      <c r="C12" s="987"/>
      <c r="D12" s="907"/>
      <c r="E12" s="907"/>
      <c r="F12" s="907"/>
      <c r="G12" s="907"/>
      <c r="H12" s="907"/>
      <c r="I12" s="907"/>
      <c r="J12" s="907"/>
      <c r="K12" s="907"/>
      <c r="L12" s="988"/>
    </row>
    <row r="13" spans="1:12" ht="15" customHeight="1" thickBot="1">
      <c r="A13" s="2753"/>
      <c r="B13" s="535"/>
      <c r="C13" s="989"/>
      <c r="D13" s="909"/>
      <c r="E13" s="909"/>
      <c r="F13" s="909"/>
      <c r="G13" s="909"/>
      <c r="H13" s="909"/>
      <c r="I13" s="909"/>
      <c r="J13" s="909"/>
      <c r="K13" s="909"/>
      <c r="L13" s="910"/>
    </row>
    <row r="14" spans="1:12" ht="15" customHeight="1">
      <c r="A14" s="11" t="s">
        <v>1956</v>
      </c>
    </row>
    <row r="15" spans="1:12">
      <c r="A15" s="11" t="s">
        <v>1957</v>
      </c>
    </row>
  </sheetData>
  <mergeCells count="10">
    <mergeCell ref="A6:A7"/>
    <mergeCell ref="A8:A9"/>
    <mergeCell ref="A10:A11"/>
    <mergeCell ref="A12:A13"/>
    <mergeCell ref="A2:A3"/>
    <mergeCell ref="B2:B3"/>
    <mergeCell ref="C2:C3"/>
    <mergeCell ref="D2:G2"/>
    <mergeCell ref="H2:L2"/>
    <mergeCell ref="A4:A5"/>
  </mergeCells>
  <phoneticPr fontId="4"/>
  <pageMargins left="0.7" right="0.7" top="0.75" bottom="0.75" header="0.3" footer="0.3"/>
  <pageSetup paperSize="9" scale="92"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EC8A0-4630-4CD4-818E-DDC130AA4BE8}">
  <sheetPr codeName="Sheet80"/>
  <dimension ref="A1:P34"/>
  <sheetViews>
    <sheetView showGridLines="0" workbookViewId="0"/>
  </sheetViews>
  <sheetFormatPr defaultColWidth="9" defaultRowHeight="10.8"/>
  <cols>
    <col min="1" max="1" width="6.59765625" style="11" customWidth="1"/>
    <col min="2" max="16" width="4.8984375" style="11" customWidth="1"/>
    <col min="17" max="16384" width="9" style="11"/>
  </cols>
  <sheetData>
    <row r="1" spans="1:16" ht="30" customHeight="1" thickBot="1">
      <c r="A1" s="259" t="s">
        <v>1958</v>
      </c>
      <c r="P1" s="260" t="s">
        <v>1959</v>
      </c>
    </row>
    <row r="2" spans="1:16" ht="17.25" customHeight="1">
      <c r="A2" s="2185" t="s">
        <v>1960</v>
      </c>
      <c r="B2" s="2572" t="s">
        <v>1961</v>
      </c>
      <c r="C2" s="2572"/>
      <c r="D2" s="2572"/>
      <c r="E2" s="2572" t="s">
        <v>1962</v>
      </c>
      <c r="F2" s="2572"/>
      <c r="G2" s="2572"/>
      <c r="H2" s="2572" t="s">
        <v>1963</v>
      </c>
      <c r="I2" s="2572"/>
      <c r="J2" s="2572"/>
      <c r="K2" s="2572" t="s">
        <v>1964</v>
      </c>
      <c r="L2" s="2572"/>
      <c r="M2" s="2572"/>
      <c r="N2" s="2572" t="s">
        <v>1965</v>
      </c>
      <c r="O2" s="2572"/>
      <c r="P2" s="2183"/>
    </row>
    <row r="3" spans="1:16" ht="17.25" customHeight="1">
      <c r="A3" s="2611"/>
      <c r="B3" s="130" t="s">
        <v>1966</v>
      </c>
      <c r="C3" s="130" t="s">
        <v>1967</v>
      </c>
      <c r="D3" s="130" t="s">
        <v>1968</v>
      </c>
      <c r="E3" s="130" t="s">
        <v>1966</v>
      </c>
      <c r="F3" s="130" t="s">
        <v>1967</v>
      </c>
      <c r="G3" s="130" t="s">
        <v>1968</v>
      </c>
      <c r="H3" s="130" t="s">
        <v>1966</v>
      </c>
      <c r="I3" s="130" t="s">
        <v>1967</v>
      </c>
      <c r="J3" s="130" t="s">
        <v>1968</v>
      </c>
      <c r="K3" s="130" t="s">
        <v>1966</v>
      </c>
      <c r="L3" s="130" t="s">
        <v>1967</v>
      </c>
      <c r="M3" s="130" t="s">
        <v>1968</v>
      </c>
      <c r="N3" s="130" t="s">
        <v>1966</v>
      </c>
      <c r="O3" s="130" t="s">
        <v>1967</v>
      </c>
      <c r="P3" s="159" t="s">
        <v>1968</v>
      </c>
    </row>
    <row r="4" spans="1:16" ht="17.25" customHeight="1">
      <c r="A4" s="247" t="s">
        <v>1969</v>
      </c>
      <c r="B4" s="229">
        <v>823</v>
      </c>
      <c r="C4" s="229">
        <v>820</v>
      </c>
      <c r="D4" s="229">
        <v>56</v>
      </c>
      <c r="E4" s="229">
        <v>74</v>
      </c>
      <c r="F4" s="256">
        <v>80</v>
      </c>
      <c r="G4" s="256">
        <v>8</v>
      </c>
      <c r="H4" s="256">
        <v>216</v>
      </c>
      <c r="I4" s="256">
        <v>214</v>
      </c>
      <c r="J4" s="89">
        <v>2</v>
      </c>
      <c r="K4" s="853">
        <v>343</v>
      </c>
      <c r="L4" s="853">
        <v>338</v>
      </c>
      <c r="M4" s="256">
        <v>43</v>
      </c>
      <c r="N4" s="256">
        <v>190</v>
      </c>
      <c r="O4" s="853">
        <v>188</v>
      </c>
      <c r="P4" s="240">
        <v>3</v>
      </c>
    </row>
    <row r="5" spans="1:16" ht="17.25" customHeight="1">
      <c r="A5" s="247">
        <v>16</v>
      </c>
      <c r="B5" s="229">
        <v>659</v>
      </c>
      <c r="C5" s="229">
        <v>678</v>
      </c>
      <c r="D5" s="229">
        <v>37</v>
      </c>
      <c r="E5" s="229">
        <v>106</v>
      </c>
      <c r="F5" s="256">
        <v>97</v>
      </c>
      <c r="G5" s="256">
        <v>17</v>
      </c>
      <c r="H5" s="256">
        <v>186</v>
      </c>
      <c r="I5" s="256">
        <v>188</v>
      </c>
      <c r="J5" s="89" t="s">
        <v>384</v>
      </c>
      <c r="K5" s="853">
        <v>213</v>
      </c>
      <c r="L5" s="853">
        <v>236</v>
      </c>
      <c r="M5" s="256">
        <v>20</v>
      </c>
      <c r="N5" s="256">
        <v>154</v>
      </c>
      <c r="O5" s="853">
        <v>157</v>
      </c>
      <c r="P5" s="240" t="s">
        <v>384</v>
      </c>
    </row>
    <row r="6" spans="1:16" ht="17.25" customHeight="1">
      <c r="A6" s="247">
        <v>17</v>
      </c>
      <c r="B6" s="990">
        <v>617</v>
      </c>
      <c r="C6" s="990">
        <v>636</v>
      </c>
      <c r="D6" s="990">
        <v>18</v>
      </c>
      <c r="E6" s="990">
        <v>82</v>
      </c>
      <c r="F6" s="161">
        <v>92</v>
      </c>
      <c r="G6" s="161">
        <v>7</v>
      </c>
      <c r="H6" s="161">
        <v>189</v>
      </c>
      <c r="I6" s="161">
        <v>187</v>
      </c>
      <c r="J6" s="161">
        <v>2</v>
      </c>
      <c r="K6" s="161">
        <v>213</v>
      </c>
      <c r="L6" s="161">
        <v>224</v>
      </c>
      <c r="M6" s="161">
        <v>9</v>
      </c>
      <c r="N6" s="161">
        <v>133</v>
      </c>
      <c r="O6" s="161">
        <v>133</v>
      </c>
      <c r="P6" s="160" t="s">
        <v>305</v>
      </c>
    </row>
    <row r="7" spans="1:16" ht="17.25" customHeight="1">
      <c r="A7" s="247">
        <v>18</v>
      </c>
      <c r="B7" s="990">
        <v>608</v>
      </c>
      <c r="C7" s="990">
        <v>577</v>
      </c>
      <c r="D7" s="990">
        <v>49</v>
      </c>
      <c r="E7" s="990">
        <v>126</v>
      </c>
      <c r="F7" s="161">
        <v>115</v>
      </c>
      <c r="G7" s="161">
        <v>18</v>
      </c>
      <c r="H7" s="161">
        <v>178</v>
      </c>
      <c r="I7" s="161">
        <v>179</v>
      </c>
      <c r="J7" s="161">
        <v>1</v>
      </c>
      <c r="K7" s="161">
        <v>182</v>
      </c>
      <c r="L7" s="161">
        <v>169</v>
      </c>
      <c r="M7" s="161">
        <v>22</v>
      </c>
      <c r="N7" s="161">
        <v>122</v>
      </c>
      <c r="O7" s="161">
        <v>114</v>
      </c>
      <c r="P7" s="160">
        <v>8</v>
      </c>
    </row>
    <row r="8" spans="1:16" ht="17.25" customHeight="1">
      <c r="A8" s="247">
        <v>19</v>
      </c>
      <c r="B8" s="990">
        <v>431</v>
      </c>
      <c r="C8" s="990">
        <v>438</v>
      </c>
      <c r="D8" s="990">
        <v>42</v>
      </c>
      <c r="E8" s="990">
        <v>103</v>
      </c>
      <c r="F8" s="161">
        <v>97</v>
      </c>
      <c r="G8" s="161">
        <v>24</v>
      </c>
      <c r="H8" s="161">
        <v>135</v>
      </c>
      <c r="I8" s="161">
        <v>136</v>
      </c>
      <c r="J8" s="161" t="s">
        <v>305</v>
      </c>
      <c r="K8" s="161">
        <v>112</v>
      </c>
      <c r="L8" s="161">
        <v>121</v>
      </c>
      <c r="M8" s="161">
        <v>13</v>
      </c>
      <c r="N8" s="161">
        <v>81</v>
      </c>
      <c r="O8" s="161">
        <v>84</v>
      </c>
      <c r="P8" s="160">
        <v>5</v>
      </c>
    </row>
    <row r="9" spans="1:16" ht="17.25" customHeight="1">
      <c r="A9" s="247">
        <v>20</v>
      </c>
      <c r="B9" s="990">
        <v>361</v>
      </c>
      <c r="C9" s="990">
        <v>368</v>
      </c>
      <c r="D9" s="990">
        <v>35</v>
      </c>
      <c r="E9" s="990">
        <v>92</v>
      </c>
      <c r="F9" s="161">
        <v>92</v>
      </c>
      <c r="G9" s="161">
        <v>24</v>
      </c>
      <c r="H9" s="161">
        <v>115</v>
      </c>
      <c r="I9" s="161">
        <v>113</v>
      </c>
      <c r="J9" s="161">
        <v>2</v>
      </c>
      <c r="K9" s="161">
        <v>89</v>
      </c>
      <c r="L9" s="161">
        <v>93</v>
      </c>
      <c r="M9" s="161">
        <v>9</v>
      </c>
      <c r="N9" s="161">
        <v>65</v>
      </c>
      <c r="O9" s="161">
        <v>70</v>
      </c>
      <c r="P9" s="160" t="s">
        <v>305</v>
      </c>
    </row>
    <row r="10" spans="1:16" ht="17.25" customHeight="1">
      <c r="A10" s="247">
        <v>21</v>
      </c>
      <c r="B10" s="990">
        <v>462</v>
      </c>
      <c r="C10" s="990">
        <v>445</v>
      </c>
      <c r="D10" s="990">
        <v>52</v>
      </c>
      <c r="E10" s="990">
        <v>172</v>
      </c>
      <c r="F10" s="161">
        <v>156</v>
      </c>
      <c r="G10" s="161">
        <v>40</v>
      </c>
      <c r="H10" s="161">
        <v>136</v>
      </c>
      <c r="I10" s="161">
        <v>136</v>
      </c>
      <c r="J10" s="161">
        <v>2</v>
      </c>
      <c r="K10" s="161">
        <v>66</v>
      </c>
      <c r="L10" s="161">
        <v>67</v>
      </c>
      <c r="M10" s="161">
        <v>8</v>
      </c>
      <c r="N10" s="161">
        <v>88</v>
      </c>
      <c r="O10" s="161">
        <v>86</v>
      </c>
      <c r="P10" s="160">
        <v>2</v>
      </c>
    </row>
    <row r="11" spans="1:16" ht="17.25" customHeight="1">
      <c r="A11" s="247">
        <v>22</v>
      </c>
      <c r="B11" s="990">
        <v>425</v>
      </c>
      <c r="C11" s="990">
        <v>434</v>
      </c>
      <c r="D11" s="990">
        <v>43</v>
      </c>
      <c r="E11" s="990">
        <v>159</v>
      </c>
      <c r="F11" s="161">
        <v>176</v>
      </c>
      <c r="G11" s="161">
        <v>23</v>
      </c>
      <c r="H11" s="161">
        <v>109</v>
      </c>
      <c r="I11" s="161">
        <v>110</v>
      </c>
      <c r="J11" s="161">
        <v>1</v>
      </c>
      <c r="K11" s="161">
        <v>71</v>
      </c>
      <c r="L11" s="161">
        <v>65</v>
      </c>
      <c r="M11" s="161">
        <v>14</v>
      </c>
      <c r="N11" s="161">
        <v>86</v>
      </c>
      <c r="O11" s="161">
        <v>83</v>
      </c>
      <c r="P11" s="160">
        <v>5</v>
      </c>
    </row>
    <row r="12" spans="1:16" ht="17.25" customHeight="1">
      <c r="A12" s="247">
        <v>23</v>
      </c>
      <c r="B12" s="990">
        <v>305</v>
      </c>
      <c r="C12" s="990">
        <v>309</v>
      </c>
      <c r="D12" s="990">
        <v>39</v>
      </c>
      <c r="E12" s="990">
        <v>127</v>
      </c>
      <c r="F12" s="161">
        <v>114</v>
      </c>
      <c r="G12" s="161">
        <v>36</v>
      </c>
      <c r="H12" s="161">
        <v>95</v>
      </c>
      <c r="I12" s="161">
        <v>95</v>
      </c>
      <c r="J12" s="161">
        <v>1</v>
      </c>
      <c r="K12" s="161">
        <v>19</v>
      </c>
      <c r="L12" s="161">
        <v>31</v>
      </c>
      <c r="M12" s="161">
        <v>2</v>
      </c>
      <c r="N12" s="161">
        <v>64</v>
      </c>
      <c r="O12" s="161">
        <v>69</v>
      </c>
      <c r="P12" s="160" t="s">
        <v>431</v>
      </c>
    </row>
    <row r="13" spans="1:16" ht="17.25" customHeight="1">
      <c r="A13" s="247">
        <v>24</v>
      </c>
      <c r="B13" s="990">
        <v>285</v>
      </c>
      <c r="C13" s="990">
        <v>303</v>
      </c>
      <c r="D13" s="990">
        <v>21</v>
      </c>
      <c r="E13" s="990">
        <v>108</v>
      </c>
      <c r="F13" s="161">
        <v>125</v>
      </c>
      <c r="G13" s="161">
        <v>19</v>
      </c>
      <c r="H13" s="161">
        <v>98</v>
      </c>
      <c r="I13" s="161">
        <v>99</v>
      </c>
      <c r="J13" s="161" t="s">
        <v>431</v>
      </c>
      <c r="K13" s="161">
        <v>6</v>
      </c>
      <c r="L13" s="161">
        <v>8</v>
      </c>
      <c r="M13" s="161" t="s">
        <v>431</v>
      </c>
      <c r="N13" s="161">
        <v>73</v>
      </c>
      <c r="O13" s="161">
        <v>71</v>
      </c>
      <c r="P13" s="160">
        <v>2</v>
      </c>
    </row>
    <row r="14" spans="1:16" ht="17.25" customHeight="1">
      <c r="A14" s="247">
        <v>25</v>
      </c>
      <c r="B14" s="990">
        <v>195</v>
      </c>
      <c r="C14" s="990">
        <v>200</v>
      </c>
      <c r="D14" s="990">
        <v>16</v>
      </c>
      <c r="E14" s="990">
        <v>60</v>
      </c>
      <c r="F14" s="161">
        <v>68</v>
      </c>
      <c r="G14" s="161">
        <v>11</v>
      </c>
      <c r="H14" s="161">
        <v>72</v>
      </c>
      <c r="I14" s="161">
        <v>70</v>
      </c>
      <c r="J14" s="161">
        <v>2</v>
      </c>
      <c r="K14" s="161">
        <v>9</v>
      </c>
      <c r="L14" s="161">
        <v>6</v>
      </c>
      <c r="M14" s="161">
        <v>3</v>
      </c>
      <c r="N14" s="161">
        <v>54</v>
      </c>
      <c r="O14" s="161">
        <v>56</v>
      </c>
      <c r="P14" s="160" t="s">
        <v>431</v>
      </c>
    </row>
    <row r="15" spans="1:16" ht="17.25" customHeight="1">
      <c r="A15" s="247">
        <v>26</v>
      </c>
      <c r="B15" s="990">
        <v>163</v>
      </c>
      <c r="C15" s="990">
        <v>153</v>
      </c>
      <c r="D15" s="990">
        <v>26</v>
      </c>
      <c r="E15" s="990">
        <v>59</v>
      </c>
      <c r="F15" s="161">
        <v>46</v>
      </c>
      <c r="G15" s="161">
        <v>24</v>
      </c>
      <c r="H15" s="161">
        <v>60</v>
      </c>
      <c r="I15" s="161">
        <v>62</v>
      </c>
      <c r="J15" s="161" t="s">
        <v>431</v>
      </c>
      <c r="K15" s="161">
        <v>8</v>
      </c>
      <c r="L15" s="161">
        <v>9</v>
      </c>
      <c r="M15" s="161">
        <v>2</v>
      </c>
      <c r="N15" s="161">
        <v>36</v>
      </c>
      <c r="O15" s="161">
        <v>36</v>
      </c>
      <c r="P15" s="160" t="s">
        <v>431</v>
      </c>
    </row>
    <row r="16" spans="1:16" ht="17.25" customHeight="1">
      <c r="A16" s="247">
        <v>27</v>
      </c>
      <c r="B16" s="990">
        <v>142</v>
      </c>
      <c r="C16" s="990">
        <v>157</v>
      </c>
      <c r="D16" s="990">
        <v>11</v>
      </c>
      <c r="E16" s="990">
        <v>45</v>
      </c>
      <c r="F16" s="161">
        <v>61</v>
      </c>
      <c r="G16" s="161">
        <v>8</v>
      </c>
      <c r="H16" s="161">
        <v>47</v>
      </c>
      <c r="I16" s="161">
        <v>47</v>
      </c>
      <c r="J16" s="161" t="s">
        <v>431</v>
      </c>
      <c r="K16" s="161">
        <v>17</v>
      </c>
      <c r="L16" s="161">
        <v>16</v>
      </c>
      <c r="M16" s="161">
        <v>3</v>
      </c>
      <c r="N16" s="161">
        <v>33</v>
      </c>
      <c r="O16" s="161">
        <v>33</v>
      </c>
      <c r="P16" s="160" t="s">
        <v>431</v>
      </c>
    </row>
    <row r="17" spans="1:16" ht="17.25" customHeight="1">
      <c r="A17" s="247">
        <v>28</v>
      </c>
      <c r="B17" s="990">
        <v>162</v>
      </c>
      <c r="C17" s="990">
        <v>162</v>
      </c>
      <c r="D17" s="990">
        <v>11</v>
      </c>
      <c r="E17" s="990">
        <v>48</v>
      </c>
      <c r="F17" s="161">
        <v>47</v>
      </c>
      <c r="G17" s="161">
        <v>9</v>
      </c>
      <c r="H17" s="161">
        <v>71</v>
      </c>
      <c r="I17" s="161">
        <v>71</v>
      </c>
      <c r="J17" s="161" t="s">
        <v>431</v>
      </c>
      <c r="K17" s="161">
        <v>5</v>
      </c>
      <c r="L17" s="161">
        <v>6</v>
      </c>
      <c r="M17" s="161">
        <v>2</v>
      </c>
      <c r="N17" s="161">
        <v>38</v>
      </c>
      <c r="O17" s="161">
        <v>38</v>
      </c>
      <c r="P17" s="160" t="s">
        <v>431</v>
      </c>
    </row>
    <row r="18" spans="1:16" ht="17.25" customHeight="1">
      <c r="A18" s="247">
        <v>29</v>
      </c>
      <c r="B18" s="990">
        <v>185</v>
      </c>
      <c r="C18" s="990">
        <v>184</v>
      </c>
      <c r="D18" s="990">
        <v>12</v>
      </c>
      <c r="E18" s="990">
        <v>49</v>
      </c>
      <c r="F18" s="161">
        <v>49</v>
      </c>
      <c r="G18" s="161">
        <v>9</v>
      </c>
      <c r="H18" s="161">
        <v>88</v>
      </c>
      <c r="I18" s="161">
        <v>87</v>
      </c>
      <c r="J18" s="161">
        <v>1</v>
      </c>
      <c r="K18" s="161">
        <v>9</v>
      </c>
      <c r="L18" s="161">
        <v>9</v>
      </c>
      <c r="M18" s="161">
        <v>2</v>
      </c>
      <c r="N18" s="161">
        <v>39</v>
      </c>
      <c r="O18" s="161">
        <v>39</v>
      </c>
      <c r="P18" s="160" t="s">
        <v>431</v>
      </c>
    </row>
    <row r="19" spans="1:16" ht="17.25" customHeight="1">
      <c r="A19" s="247">
        <v>30</v>
      </c>
      <c r="B19" s="990">
        <v>125</v>
      </c>
      <c r="C19" s="990">
        <v>126</v>
      </c>
      <c r="D19" s="990">
        <v>11</v>
      </c>
      <c r="E19" s="990">
        <v>34</v>
      </c>
      <c r="F19" s="161">
        <v>34</v>
      </c>
      <c r="G19" s="161">
        <v>9</v>
      </c>
      <c r="H19" s="161">
        <v>61</v>
      </c>
      <c r="I19" s="161">
        <v>62</v>
      </c>
      <c r="J19" s="161" t="s">
        <v>431</v>
      </c>
      <c r="K19" s="161">
        <v>5</v>
      </c>
      <c r="L19" s="161">
        <v>5</v>
      </c>
      <c r="M19" s="161">
        <v>2</v>
      </c>
      <c r="N19" s="161">
        <v>25</v>
      </c>
      <c r="O19" s="161">
        <v>25</v>
      </c>
      <c r="P19" s="160" t="s">
        <v>431</v>
      </c>
    </row>
    <row r="20" spans="1:16" ht="17.25" customHeight="1">
      <c r="A20" s="595" t="s">
        <v>79</v>
      </c>
      <c r="B20" s="990">
        <v>132</v>
      </c>
      <c r="C20" s="990">
        <v>128</v>
      </c>
      <c r="D20" s="990">
        <v>15</v>
      </c>
      <c r="E20" s="990">
        <v>37</v>
      </c>
      <c r="F20" s="161">
        <v>39</v>
      </c>
      <c r="G20" s="161">
        <v>7</v>
      </c>
      <c r="H20" s="161">
        <v>55</v>
      </c>
      <c r="I20" s="161">
        <v>55</v>
      </c>
      <c r="J20" s="161" t="s">
        <v>431</v>
      </c>
      <c r="K20" s="161">
        <v>16</v>
      </c>
      <c r="L20" s="161">
        <v>10</v>
      </c>
      <c r="M20" s="161">
        <v>8</v>
      </c>
      <c r="N20" s="161">
        <v>24</v>
      </c>
      <c r="O20" s="161">
        <v>24</v>
      </c>
      <c r="P20" s="160" t="s">
        <v>431</v>
      </c>
    </row>
    <row r="21" spans="1:16" ht="17.25" customHeight="1">
      <c r="A21" s="595">
        <v>2</v>
      </c>
      <c r="B21" s="990">
        <v>136</v>
      </c>
      <c r="C21" s="990">
        <v>147</v>
      </c>
      <c r="D21" s="990">
        <v>4</v>
      </c>
      <c r="E21" s="990">
        <v>36</v>
      </c>
      <c r="F21" s="161">
        <v>39</v>
      </c>
      <c r="G21" s="161">
        <v>4</v>
      </c>
      <c r="H21" s="161">
        <v>59</v>
      </c>
      <c r="I21" s="161">
        <v>59</v>
      </c>
      <c r="J21" s="161" t="s">
        <v>431</v>
      </c>
      <c r="K21" s="161">
        <v>8</v>
      </c>
      <c r="L21" s="161">
        <v>16</v>
      </c>
      <c r="M21" s="161" t="s">
        <v>431</v>
      </c>
      <c r="N21" s="161">
        <v>33</v>
      </c>
      <c r="O21" s="161">
        <v>33</v>
      </c>
      <c r="P21" s="160" t="s">
        <v>431</v>
      </c>
    </row>
    <row r="22" spans="1:16" ht="17.25" customHeight="1">
      <c r="A22" s="595">
        <v>3</v>
      </c>
      <c r="B22" s="991">
        <v>144</v>
      </c>
      <c r="C22" s="991">
        <v>139</v>
      </c>
      <c r="D22" s="991">
        <v>9</v>
      </c>
      <c r="E22" s="991">
        <v>39</v>
      </c>
      <c r="F22" s="161">
        <v>34</v>
      </c>
      <c r="G22" s="161">
        <v>9</v>
      </c>
      <c r="H22" s="161">
        <v>54</v>
      </c>
      <c r="I22" s="161">
        <v>54</v>
      </c>
      <c r="J22" s="161">
        <v>0</v>
      </c>
      <c r="K22" s="161">
        <v>18</v>
      </c>
      <c r="L22" s="161">
        <v>18</v>
      </c>
      <c r="M22" s="161">
        <v>0</v>
      </c>
      <c r="N22" s="161">
        <v>33</v>
      </c>
      <c r="O22" s="161">
        <v>33</v>
      </c>
      <c r="P22" s="160">
        <v>0</v>
      </c>
    </row>
    <row r="23" spans="1:16" ht="17.25" customHeight="1">
      <c r="A23" s="595">
        <v>4</v>
      </c>
      <c r="B23" s="991">
        <v>107</v>
      </c>
      <c r="C23" s="991">
        <v>109</v>
      </c>
      <c r="D23" s="991">
        <v>7</v>
      </c>
      <c r="E23" s="991">
        <v>26</v>
      </c>
      <c r="F23" s="161">
        <v>29</v>
      </c>
      <c r="G23" s="161">
        <v>6</v>
      </c>
      <c r="H23" s="161">
        <v>41</v>
      </c>
      <c r="I23" s="161">
        <v>41</v>
      </c>
      <c r="J23" s="161">
        <v>0</v>
      </c>
      <c r="K23" s="161">
        <v>12</v>
      </c>
      <c r="L23" s="161">
        <v>11</v>
      </c>
      <c r="M23" s="161">
        <v>1</v>
      </c>
      <c r="N23" s="161">
        <v>28</v>
      </c>
      <c r="O23" s="161">
        <v>28</v>
      </c>
      <c r="P23" s="160">
        <v>0</v>
      </c>
    </row>
    <row r="24" spans="1:16" ht="17.25" customHeight="1">
      <c r="A24" s="595">
        <v>5</v>
      </c>
      <c r="B24" s="991">
        <v>110</v>
      </c>
      <c r="C24" s="991">
        <v>110</v>
      </c>
      <c r="D24" s="991">
        <v>7</v>
      </c>
      <c r="E24" s="991">
        <v>28</v>
      </c>
      <c r="F24" s="161">
        <v>29</v>
      </c>
      <c r="G24" s="161">
        <v>5</v>
      </c>
      <c r="H24" s="161">
        <v>52</v>
      </c>
      <c r="I24" s="161">
        <v>52</v>
      </c>
      <c r="J24" s="161">
        <v>0</v>
      </c>
      <c r="K24" s="161">
        <v>8</v>
      </c>
      <c r="L24" s="161">
        <v>8</v>
      </c>
      <c r="M24" s="161">
        <v>1</v>
      </c>
      <c r="N24" s="161">
        <v>22</v>
      </c>
      <c r="O24" s="161">
        <v>21</v>
      </c>
      <c r="P24" s="160">
        <v>1</v>
      </c>
    </row>
    <row r="25" spans="1:16" ht="17.25" customHeight="1" thickBot="1">
      <c r="A25" s="598"/>
      <c r="B25" s="992"/>
      <c r="C25" s="992"/>
      <c r="D25" s="992"/>
      <c r="E25" s="992"/>
      <c r="F25" s="993"/>
      <c r="G25" s="993"/>
      <c r="H25" s="993"/>
      <c r="I25" s="993"/>
      <c r="J25" s="993"/>
      <c r="K25" s="993"/>
      <c r="L25" s="993"/>
      <c r="M25" s="993"/>
      <c r="N25" s="993"/>
      <c r="O25" s="993"/>
      <c r="P25" s="994"/>
    </row>
    <row r="26" spans="1:16" ht="17.25" customHeight="1">
      <c r="A26" s="11" t="s">
        <v>1970</v>
      </c>
    </row>
    <row r="27" spans="1:16" ht="17.25" customHeight="1">
      <c r="A27" s="11" t="s">
        <v>1971</v>
      </c>
    </row>
    <row r="28" spans="1:16" ht="17.25" customHeight="1">
      <c r="A28" s="11" t="s">
        <v>1972</v>
      </c>
    </row>
    <row r="29" spans="1:16" ht="17.25" customHeight="1">
      <c r="A29" s="11" t="s">
        <v>1973</v>
      </c>
    </row>
    <row r="30" spans="1:16" ht="17.25" customHeight="1">
      <c r="A30" s="11" t="s">
        <v>1974</v>
      </c>
    </row>
    <row r="31" spans="1:16" ht="17.25" customHeight="1">
      <c r="A31" s="11" t="s">
        <v>1975</v>
      </c>
    </row>
    <row r="32" spans="1:16" ht="17.25" customHeight="1">
      <c r="A32" s="11" t="s">
        <v>1976</v>
      </c>
    </row>
    <row r="33" ht="17.25" customHeight="1"/>
    <row r="34" ht="17.25" customHeight="1"/>
  </sheetData>
  <mergeCells count="6">
    <mergeCell ref="N2:P2"/>
    <mergeCell ref="A2:A3"/>
    <mergeCell ref="B2:D2"/>
    <mergeCell ref="E2:G2"/>
    <mergeCell ref="H2:J2"/>
    <mergeCell ref="K2:M2"/>
  </mergeCells>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6ACE-3E5E-418D-B6CF-13AC5A5C105B}">
  <sheetPr codeName="Sheet8">
    <pageSetUpPr fitToPage="1"/>
  </sheetPr>
  <dimension ref="A1:AC24"/>
  <sheetViews>
    <sheetView showGridLines="0" zoomScaleNormal="100" workbookViewId="0">
      <selection activeCell="D1" sqref="D1"/>
    </sheetView>
  </sheetViews>
  <sheetFormatPr defaultColWidth="9" defaultRowHeight="18.75" customHeight="1"/>
  <cols>
    <col min="1" max="1" width="7.5" style="132" bestFit="1" customWidth="1"/>
    <col min="2" max="29" width="6.8984375" style="132" customWidth="1"/>
    <col min="30" max="16384" width="9" style="132"/>
  </cols>
  <sheetData>
    <row r="1" spans="1:29" ht="30" customHeight="1" thickBot="1">
      <c r="A1" s="539" t="s">
        <v>199</v>
      </c>
      <c r="B1" s="539"/>
      <c r="C1" s="539"/>
      <c r="D1" s="539"/>
      <c r="M1" s="133"/>
      <c r="N1" s="133"/>
      <c r="O1" s="133"/>
      <c r="P1" s="133"/>
      <c r="Q1" s="133"/>
      <c r="R1" s="133"/>
      <c r="S1" s="133"/>
      <c r="T1" s="133"/>
      <c r="U1" s="133"/>
      <c r="V1" s="133"/>
      <c r="W1" s="133"/>
      <c r="X1" s="133"/>
      <c r="Y1" s="133"/>
      <c r="Z1" s="133"/>
      <c r="AA1" s="133"/>
      <c r="AB1" s="133"/>
      <c r="AC1" s="133" t="s">
        <v>200</v>
      </c>
    </row>
    <row r="2" spans="1:29" s="134" customFormat="1" ht="18.75" customHeight="1">
      <c r="A2" s="2213" t="s">
        <v>161</v>
      </c>
      <c r="B2" s="2209" t="s">
        <v>201</v>
      </c>
      <c r="C2" s="2210"/>
      <c r="D2" s="2210"/>
      <c r="E2" s="2211"/>
      <c r="F2" s="2215" t="s">
        <v>202</v>
      </c>
      <c r="G2" s="2216"/>
      <c r="H2" s="2216"/>
      <c r="I2" s="2216"/>
      <c r="J2" s="2209" t="s">
        <v>203</v>
      </c>
      <c r="K2" s="2210"/>
      <c r="L2" s="2210"/>
      <c r="M2" s="2210"/>
      <c r="N2" s="2215" t="s">
        <v>204</v>
      </c>
      <c r="O2" s="2216"/>
      <c r="P2" s="2216"/>
      <c r="Q2" s="2216"/>
      <c r="R2" s="2209" t="s">
        <v>205</v>
      </c>
      <c r="S2" s="2210"/>
      <c r="T2" s="2210"/>
      <c r="U2" s="2211"/>
      <c r="V2" s="2209" t="s">
        <v>206</v>
      </c>
      <c r="W2" s="2210"/>
      <c r="X2" s="2210"/>
      <c r="Y2" s="2210"/>
      <c r="Z2" s="2209" t="s">
        <v>207</v>
      </c>
      <c r="AA2" s="2210"/>
      <c r="AB2" s="2210"/>
      <c r="AC2" s="2210"/>
    </row>
    <row r="3" spans="1:29" s="134" customFormat="1" ht="18.75" customHeight="1">
      <c r="A3" s="2214"/>
      <c r="B3" s="135" t="s">
        <v>208</v>
      </c>
      <c r="C3" s="135" t="s">
        <v>209</v>
      </c>
      <c r="D3" s="136" t="s">
        <v>164</v>
      </c>
      <c r="E3" s="136" t="s">
        <v>165</v>
      </c>
      <c r="F3" s="135" t="s">
        <v>208</v>
      </c>
      <c r="G3" s="135" t="s">
        <v>209</v>
      </c>
      <c r="H3" s="137" t="s">
        <v>164</v>
      </c>
      <c r="I3" s="138" t="s">
        <v>165</v>
      </c>
      <c r="J3" s="135" t="s">
        <v>208</v>
      </c>
      <c r="K3" s="135" t="s">
        <v>209</v>
      </c>
      <c r="L3" s="136" t="s">
        <v>164</v>
      </c>
      <c r="M3" s="138" t="s">
        <v>165</v>
      </c>
      <c r="N3" s="135" t="s">
        <v>208</v>
      </c>
      <c r="O3" s="135" t="s">
        <v>209</v>
      </c>
      <c r="P3" s="136" t="s">
        <v>164</v>
      </c>
      <c r="Q3" s="138" t="s">
        <v>165</v>
      </c>
      <c r="R3" s="135" t="s">
        <v>208</v>
      </c>
      <c r="S3" s="135" t="s">
        <v>209</v>
      </c>
      <c r="T3" s="136" t="s">
        <v>164</v>
      </c>
      <c r="U3" s="138" t="s">
        <v>165</v>
      </c>
      <c r="V3" s="135" t="s">
        <v>208</v>
      </c>
      <c r="W3" s="135" t="s">
        <v>209</v>
      </c>
      <c r="X3" s="136" t="s">
        <v>164</v>
      </c>
      <c r="Y3" s="138" t="s">
        <v>165</v>
      </c>
      <c r="Z3" s="135" t="s">
        <v>208</v>
      </c>
      <c r="AA3" s="135" t="s">
        <v>209</v>
      </c>
      <c r="AB3" s="136" t="s">
        <v>164</v>
      </c>
      <c r="AC3" s="139" t="s">
        <v>165</v>
      </c>
    </row>
    <row r="4" spans="1:29" s="134" customFormat="1" ht="18.75" customHeight="1">
      <c r="A4" s="140"/>
      <c r="B4" s="141" t="s">
        <v>166</v>
      </c>
      <c r="C4" s="141" t="s">
        <v>167</v>
      </c>
      <c r="D4" s="141" t="s">
        <v>167</v>
      </c>
      <c r="E4" s="141" t="s">
        <v>167</v>
      </c>
      <c r="F4" s="141" t="s">
        <v>166</v>
      </c>
      <c r="G4" s="141" t="s">
        <v>210</v>
      </c>
      <c r="H4" s="142" t="s">
        <v>210</v>
      </c>
      <c r="I4" s="143" t="s">
        <v>210</v>
      </c>
      <c r="J4" s="142" t="s">
        <v>166</v>
      </c>
      <c r="K4" s="142" t="s">
        <v>167</v>
      </c>
      <c r="L4" s="142" t="s">
        <v>167</v>
      </c>
      <c r="M4" s="143" t="s">
        <v>167</v>
      </c>
      <c r="N4" s="142" t="s">
        <v>166</v>
      </c>
      <c r="O4" s="142" t="s">
        <v>167</v>
      </c>
      <c r="P4" s="142" t="s">
        <v>167</v>
      </c>
      <c r="Q4" s="143" t="s">
        <v>167</v>
      </c>
      <c r="R4" s="142" t="s">
        <v>166</v>
      </c>
      <c r="S4" s="142" t="s">
        <v>167</v>
      </c>
      <c r="T4" s="142" t="s">
        <v>167</v>
      </c>
      <c r="U4" s="143" t="s">
        <v>167</v>
      </c>
      <c r="V4" s="142" t="s">
        <v>166</v>
      </c>
      <c r="W4" s="142" t="s">
        <v>167</v>
      </c>
      <c r="X4" s="142" t="s">
        <v>167</v>
      </c>
      <c r="Y4" s="143" t="s">
        <v>167</v>
      </c>
      <c r="Z4" s="141" t="s">
        <v>166</v>
      </c>
      <c r="AA4" s="141" t="s">
        <v>167</v>
      </c>
      <c r="AB4" s="141" t="s">
        <v>167</v>
      </c>
      <c r="AC4" s="143" t="s">
        <v>167</v>
      </c>
    </row>
    <row r="5" spans="1:29" s="134" customFormat="1" ht="18.75" customHeight="1">
      <c r="A5" s="53" t="s">
        <v>211</v>
      </c>
      <c r="B5" s="144">
        <v>2566</v>
      </c>
      <c r="C5" s="144">
        <v>12977</v>
      </c>
      <c r="D5" s="144">
        <v>6272</v>
      </c>
      <c r="E5" s="144">
        <v>6705</v>
      </c>
      <c r="F5" s="145">
        <v>761</v>
      </c>
      <c r="G5" s="146">
        <v>3820</v>
      </c>
      <c r="H5" s="146">
        <v>1945</v>
      </c>
      <c r="I5" s="147">
        <v>1875</v>
      </c>
      <c r="J5" s="146">
        <v>817</v>
      </c>
      <c r="K5" s="146">
        <v>4673</v>
      </c>
      <c r="L5" s="146">
        <v>2347</v>
      </c>
      <c r="M5" s="147">
        <v>2326</v>
      </c>
      <c r="N5" s="146">
        <v>423</v>
      </c>
      <c r="O5" s="146">
        <v>2241</v>
      </c>
      <c r="P5" s="146">
        <v>1105</v>
      </c>
      <c r="Q5" s="147">
        <v>1136</v>
      </c>
      <c r="R5" s="146">
        <v>566</v>
      </c>
      <c r="S5" s="146">
        <f>T5+U5</f>
        <v>3077</v>
      </c>
      <c r="T5" s="146">
        <v>1578</v>
      </c>
      <c r="U5" s="148">
        <v>1499</v>
      </c>
      <c r="V5" s="146">
        <v>677</v>
      </c>
      <c r="W5" s="146">
        <f>X5+Y5</f>
        <v>3719</v>
      </c>
      <c r="X5" s="146">
        <v>1917</v>
      </c>
      <c r="Y5" s="148">
        <v>1802</v>
      </c>
      <c r="Z5" s="144">
        <f t="shared" ref="Z5:AC19" si="0">B5+F5+J5+N5+R5+V5</f>
        <v>5810</v>
      </c>
      <c r="AA5" s="144">
        <f t="shared" si="0"/>
        <v>30507</v>
      </c>
      <c r="AB5" s="144">
        <f t="shared" si="0"/>
        <v>15164</v>
      </c>
      <c r="AC5" s="149">
        <f t="shared" si="0"/>
        <v>15343</v>
      </c>
    </row>
    <row r="6" spans="1:29" s="134" customFormat="1" ht="18.75" customHeight="1">
      <c r="A6" s="150">
        <v>22</v>
      </c>
      <c r="B6" s="144">
        <v>3175</v>
      </c>
      <c r="C6" s="144">
        <v>16256</v>
      </c>
      <c r="D6" s="144">
        <v>7133</v>
      </c>
      <c r="E6" s="144">
        <v>9123</v>
      </c>
      <c r="F6" s="145">
        <v>867</v>
      </c>
      <c r="G6" s="146">
        <v>4391</v>
      </c>
      <c r="H6" s="146">
        <v>2179</v>
      </c>
      <c r="I6" s="147">
        <v>2212</v>
      </c>
      <c r="J6" s="146">
        <v>975</v>
      </c>
      <c r="K6" s="146">
        <v>5618</v>
      </c>
      <c r="L6" s="146">
        <v>2738</v>
      </c>
      <c r="M6" s="147">
        <v>2880</v>
      </c>
      <c r="N6" s="146">
        <v>475</v>
      </c>
      <c r="O6" s="146">
        <v>2562</v>
      </c>
      <c r="P6" s="146">
        <v>1203</v>
      </c>
      <c r="Q6" s="147">
        <v>1359</v>
      </c>
      <c r="R6" s="146">
        <v>614</v>
      </c>
      <c r="S6" s="146">
        <f>T6+U6</f>
        <v>3374</v>
      </c>
      <c r="T6" s="146">
        <v>1652</v>
      </c>
      <c r="U6" s="148">
        <v>1722</v>
      </c>
      <c r="V6" s="146">
        <v>709</v>
      </c>
      <c r="W6" s="146">
        <f t="shared" ref="W6:W17" si="1">X6+Y6</f>
        <v>3920</v>
      </c>
      <c r="X6" s="146">
        <v>1941</v>
      </c>
      <c r="Y6" s="148">
        <v>1979</v>
      </c>
      <c r="Z6" s="144">
        <f t="shared" si="0"/>
        <v>6815</v>
      </c>
      <c r="AA6" s="144">
        <f t="shared" si="0"/>
        <v>36121</v>
      </c>
      <c r="AB6" s="144">
        <f t="shared" si="0"/>
        <v>16846</v>
      </c>
      <c r="AC6" s="149">
        <f t="shared" si="0"/>
        <v>19275</v>
      </c>
    </row>
    <row r="7" spans="1:29" s="134" customFormat="1" ht="18.75" customHeight="1">
      <c r="A7" s="150">
        <v>25</v>
      </c>
      <c r="B7" s="144">
        <v>3353</v>
      </c>
      <c r="C7" s="144">
        <v>17473</v>
      </c>
      <c r="D7" s="144">
        <v>7665</v>
      </c>
      <c r="E7" s="144">
        <v>9808</v>
      </c>
      <c r="F7" s="145">
        <v>909</v>
      </c>
      <c r="G7" s="146">
        <v>4664</v>
      </c>
      <c r="H7" s="146">
        <v>2350</v>
      </c>
      <c r="I7" s="147">
        <v>2314</v>
      </c>
      <c r="J7" s="146">
        <v>1014</v>
      </c>
      <c r="K7" s="146">
        <v>5763</v>
      </c>
      <c r="L7" s="146">
        <v>2848</v>
      </c>
      <c r="M7" s="147">
        <v>2915</v>
      </c>
      <c r="N7" s="146">
        <v>473</v>
      </c>
      <c r="O7" s="146">
        <v>2608</v>
      </c>
      <c r="P7" s="146">
        <v>1255</v>
      </c>
      <c r="Q7" s="147">
        <v>1353</v>
      </c>
      <c r="R7" s="146">
        <v>600</v>
      </c>
      <c r="S7" s="146">
        <f t="shared" ref="S7:S18" si="2">T7+U7</f>
        <v>3413</v>
      </c>
      <c r="T7" s="146">
        <v>1688</v>
      </c>
      <c r="U7" s="148">
        <v>1725</v>
      </c>
      <c r="V7" s="146">
        <v>717</v>
      </c>
      <c r="W7" s="146">
        <f t="shared" si="1"/>
        <v>3988</v>
      </c>
      <c r="X7" s="146">
        <v>2000</v>
      </c>
      <c r="Y7" s="148">
        <v>1988</v>
      </c>
      <c r="Z7" s="144">
        <f t="shared" si="0"/>
        <v>7066</v>
      </c>
      <c r="AA7" s="144">
        <f t="shared" si="0"/>
        <v>37909</v>
      </c>
      <c r="AB7" s="144">
        <f t="shared" si="0"/>
        <v>17806</v>
      </c>
      <c r="AC7" s="149">
        <f t="shared" si="0"/>
        <v>20103</v>
      </c>
    </row>
    <row r="8" spans="1:29" s="134" customFormat="1" ht="18.75" customHeight="1">
      <c r="A8" s="150">
        <v>30</v>
      </c>
      <c r="B8" s="144">
        <v>3749</v>
      </c>
      <c r="C8" s="144">
        <v>17610</v>
      </c>
      <c r="D8" s="144">
        <v>8157</v>
      </c>
      <c r="E8" s="144">
        <v>9453</v>
      </c>
      <c r="F8" s="145">
        <v>955</v>
      </c>
      <c r="G8" s="146">
        <v>4951</v>
      </c>
      <c r="H8" s="146">
        <v>2578</v>
      </c>
      <c r="I8" s="147">
        <v>2373</v>
      </c>
      <c r="J8" s="146">
        <v>1036</v>
      </c>
      <c r="K8" s="146">
        <v>5671</v>
      </c>
      <c r="L8" s="146">
        <v>2803</v>
      </c>
      <c r="M8" s="147">
        <v>2868</v>
      </c>
      <c r="N8" s="146">
        <v>489</v>
      </c>
      <c r="O8" s="146">
        <v>2490</v>
      </c>
      <c r="P8" s="146">
        <v>1177</v>
      </c>
      <c r="Q8" s="147">
        <v>1313</v>
      </c>
      <c r="R8" s="146">
        <v>589</v>
      </c>
      <c r="S8" s="146">
        <f t="shared" si="2"/>
        <v>3264</v>
      </c>
      <c r="T8" s="146">
        <v>1609</v>
      </c>
      <c r="U8" s="148">
        <v>1655</v>
      </c>
      <c r="V8" s="146">
        <v>692</v>
      </c>
      <c r="W8" s="146">
        <f t="shared" si="1"/>
        <v>3739</v>
      </c>
      <c r="X8" s="146">
        <v>1867</v>
      </c>
      <c r="Y8" s="148">
        <v>1872</v>
      </c>
      <c r="Z8" s="144">
        <f t="shared" si="0"/>
        <v>7510</v>
      </c>
      <c r="AA8" s="144">
        <f t="shared" si="0"/>
        <v>37725</v>
      </c>
      <c r="AB8" s="144">
        <f t="shared" si="0"/>
        <v>18191</v>
      </c>
      <c r="AC8" s="149">
        <f t="shared" si="0"/>
        <v>19534</v>
      </c>
    </row>
    <row r="9" spans="1:29" s="134" customFormat="1" ht="18.75" customHeight="1">
      <c r="A9" s="150">
        <v>35</v>
      </c>
      <c r="B9" s="144">
        <v>4632</v>
      </c>
      <c r="C9" s="144">
        <v>19619</v>
      </c>
      <c r="D9" s="144">
        <v>9140</v>
      </c>
      <c r="E9" s="144">
        <v>10479</v>
      </c>
      <c r="F9" s="146">
        <v>1188</v>
      </c>
      <c r="G9" s="146">
        <v>7341</v>
      </c>
      <c r="H9" s="146">
        <v>4639</v>
      </c>
      <c r="I9" s="147">
        <v>2702</v>
      </c>
      <c r="J9" s="146">
        <v>1130</v>
      </c>
      <c r="K9" s="146">
        <v>5594</v>
      </c>
      <c r="L9" s="146">
        <v>2712</v>
      </c>
      <c r="M9" s="147">
        <v>2882</v>
      </c>
      <c r="N9" s="146">
        <v>558</v>
      </c>
      <c r="O9" s="146">
        <v>2597</v>
      </c>
      <c r="P9" s="146">
        <v>1254</v>
      </c>
      <c r="Q9" s="147">
        <v>1343</v>
      </c>
      <c r="R9" s="146">
        <v>531</v>
      </c>
      <c r="S9" s="146">
        <f t="shared" si="2"/>
        <v>2708</v>
      </c>
      <c r="T9" s="146">
        <v>1321</v>
      </c>
      <c r="U9" s="148">
        <v>1387</v>
      </c>
      <c r="V9" s="146">
        <v>655</v>
      </c>
      <c r="W9" s="146">
        <f t="shared" si="1"/>
        <v>3325</v>
      </c>
      <c r="X9" s="146">
        <v>1643</v>
      </c>
      <c r="Y9" s="148">
        <v>1682</v>
      </c>
      <c r="Z9" s="144">
        <f t="shared" si="0"/>
        <v>8694</v>
      </c>
      <c r="AA9" s="144">
        <f t="shared" si="0"/>
        <v>41184</v>
      </c>
      <c r="AB9" s="144">
        <f t="shared" si="0"/>
        <v>20709</v>
      </c>
      <c r="AC9" s="149">
        <f t="shared" si="0"/>
        <v>20475</v>
      </c>
    </row>
    <row r="10" spans="1:29" s="134" customFormat="1" ht="18.75" customHeight="1">
      <c r="A10" s="150">
        <v>40</v>
      </c>
      <c r="B10" s="144">
        <v>4860</v>
      </c>
      <c r="C10" s="144">
        <v>19179</v>
      </c>
      <c r="D10" s="144">
        <v>8741</v>
      </c>
      <c r="E10" s="144">
        <v>10438</v>
      </c>
      <c r="F10" s="146">
        <v>1018</v>
      </c>
      <c r="G10" s="146">
        <v>4786</v>
      </c>
      <c r="H10" s="146">
        <v>2529</v>
      </c>
      <c r="I10" s="147">
        <v>2257</v>
      </c>
      <c r="J10" s="146">
        <v>1153</v>
      </c>
      <c r="K10" s="146">
        <v>5261</v>
      </c>
      <c r="L10" s="146">
        <v>2499</v>
      </c>
      <c r="M10" s="147">
        <v>2762</v>
      </c>
      <c r="N10" s="146">
        <v>669</v>
      </c>
      <c r="O10" s="146">
        <v>2859</v>
      </c>
      <c r="P10" s="146">
        <v>1374</v>
      </c>
      <c r="Q10" s="147">
        <v>1485</v>
      </c>
      <c r="R10" s="146">
        <v>479</v>
      </c>
      <c r="S10" s="146">
        <f t="shared" si="2"/>
        <v>2248</v>
      </c>
      <c r="T10" s="146">
        <v>1098</v>
      </c>
      <c r="U10" s="148">
        <v>1150</v>
      </c>
      <c r="V10" s="146">
        <v>577</v>
      </c>
      <c r="W10" s="146">
        <f t="shared" si="1"/>
        <v>2655</v>
      </c>
      <c r="X10" s="146">
        <v>1314</v>
      </c>
      <c r="Y10" s="148">
        <v>1341</v>
      </c>
      <c r="Z10" s="144">
        <f t="shared" si="0"/>
        <v>8756</v>
      </c>
      <c r="AA10" s="144">
        <f t="shared" si="0"/>
        <v>36988</v>
      </c>
      <c r="AB10" s="144">
        <f t="shared" si="0"/>
        <v>17555</v>
      </c>
      <c r="AC10" s="149">
        <f t="shared" si="0"/>
        <v>19433</v>
      </c>
    </row>
    <row r="11" spans="1:29" s="134" customFormat="1" ht="18.75" customHeight="1">
      <c r="A11" s="150">
        <v>45</v>
      </c>
      <c r="B11" s="144">
        <v>5156</v>
      </c>
      <c r="C11" s="144">
        <v>19239</v>
      </c>
      <c r="D11" s="144">
        <v>8971</v>
      </c>
      <c r="E11" s="144">
        <v>10268</v>
      </c>
      <c r="F11" s="146">
        <v>1015</v>
      </c>
      <c r="G11" s="146">
        <v>4494</v>
      </c>
      <c r="H11" s="146">
        <v>2288</v>
      </c>
      <c r="I11" s="147">
        <v>2206</v>
      </c>
      <c r="J11" s="146">
        <v>1303</v>
      </c>
      <c r="K11" s="146">
        <v>5491</v>
      </c>
      <c r="L11" s="146">
        <v>2627</v>
      </c>
      <c r="M11" s="147">
        <v>2864</v>
      </c>
      <c r="N11" s="146">
        <v>648</v>
      </c>
      <c r="O11" s="146">
        <v>2675</v>
      </c>
      <c r="P11" s="146">
        <v>1295</v>
      </c>
      <c r="Q11" s="147">
        <v>1380</v>
      </c>
      <c r="R11" s="146">
        <v>432</v>
      </c>
      <c r="S11" s="146">
        <f t="shared" si="2"/>
        <v>1874</v>
      </c>
      <c r="T11" s="146">
        <v>909</v>
      </c>
      <c r="U11" s="148">
        <v>965</v>
      </c>
      <c r="V11" s="146">
        <v>487</v>
      </c>
      <c r="W11" s="146">
        <f t="shared" si="1"/>
        <v>2044</v>
      </c>
      <c r="X11" s="146">
        <v>998</v>
      </c>
      <c r="Y11" s="148">
        <v>1046</v>
      </c>
      <c r="Z11" s="144">
        <f t="shared" si="0"/>
        <v>9041</v>
      </c>
      <c r="AA11" s="144">
        <f t="shared" si="0"/>
        <v>35817</v>
      </c>
      <c r="AB11" s="144">
        <f t="shared" si="0"/>
        <v>17088</v>
      </c>
      <c r="AC11" s="149">
        <f t="shared" si="0"/>
        <v>18729</v>
      </c>
    </row>
    <row r="12" spans="1:29" s="134" customFormat="1" ht="18.75" customHeight="1">
      <c r="A12" s="150">
        <v>50</v>
      </c>
      <c r="B12" s="144">
        <v>5548</v>
      </c>
      <c r="C12" s="144">
        <v>19752</v>
      </c>
      <c r="D12" s="144">
        <v>9396</v>
      </c>
      <c r="E12" s="144">
        <v>10356</v>
      </c>
      <c r="F12" s="146">
        <v>1342</v>
      </c>
      <c r="G12" s="146">
        <v>5656</v>
      </c>
      <c r="H12" s="146">
        <v>3052</v>
      </c>
      <c r="I12" s="147">
        <v>2604</v>
      </c>
      <c r="J12" s="146">
        <v>1394</v>
      </c>
      <c r="K12" s="146">
        <v>5750</v>
      </c>
      <c r="L12" s="146">
        <v>2769</v>
      </c>
      <c r="M12" s="147">
        <v>2981</v>
      </c>
      <c r="N12" s="146">
        <v>699</v>
      </c>
      <c r="O12" s="146">
        <v>2686</v>
      </c>
      <c r="P12" s="146">
        <v>1301</v>
      </c>
      <c r="Q12" s="147">
        <v>1385</v>
      </c>
      <c r="R12" s="146">
        <v>408</v>
      </c>
      <c r="S12" s="146">
        <f>T12+U12</f>
        <v>1727</v>
      </c>
      <c r="T12" s="146">
        <v>849</v>
      </c>
      <c r="U12" s="148">
        <v>878</v>
      </c>
      <c r="V12" s="146">
        <v>439</v>
      </c>
      <c r="W12" s="146">
        <f t="shared" si="1"/>
        <v>1740</v>
      </c>
      <c r="X12" s="146">
        <v>876</v>
      </c>
      <c r="Y12" s="148">
        <v>864</v>
      </c>
      <c r="Z12" s="144">
        <f t="shared" si="0"/>
        <v>9830</v>
      </c>
      <c r="AA12" s="144">
        <f t="shared" si="0"/>
        <v>37311</v>
      </c>
      <c r="AB12" s="144">
        <f t="shared" si="0"/>
        <v>18243</v>
      </c>
      <c r="AC12" s="149">
        <f t="shared" si="0"/>
        <v>19068</v>
      </c>
    </row>
    <row r="13" spans="1:29" s="134" customFormat="1" ht="18.75" customHeight="1">
      <c r="A13" s="150">
        <v>55</v>
      </c>
      <c r="B13" s="144">
        <v>5714</v>
      </c>
      <c r="C13" s="144">
        <v>18755</v>
      </c>
      <c r="D13" s="144">
        <v>8976</v>
      </c>
      <c r="E13" s="144">
        <v>9779</v>
      </c>
      <c r="F13" s="146">
        <v>1661</v>
      </c>
      <c r="G13" s="146">
        <v>5377</v>
      </c>
      <c r="H13" s="146">
        <v>2763</v>
      </c>
      <c r="I13" s="147">
        <v>2614</v>
      </c>
      <c r="J13" s="146">
        <v>1519</v>
      </c>
      <c r="K13" s="146">
        <v>6134</v>
      </c>
      <c r="L13" s="146">
        <v>2922</v>
      </c>
      <c r="M13" s="147">
        <v>3212</v>
      </c>
      <c r="N13" s="146">
        <v>711</v>
      </c>
      <c r="O13" s="146">
        <v>2700</v>
      </c>
      <c r="P13" s="146">
        <v>1320</v>
      </c>
      <c r="Q13" s="147">
        <v>1380</v>
      </c>
      <c r="R13" s="146">
        <v>400</v>
      </c>
      <c r="S13" s="146">
        <f t="shared" si="2"/>
        <v>1503</v>
      </c>
      <c r="T13" s="146">
        <v>752</v>
      </c>
      <c r="U13" s="148">
        <v>751</v>
      </c>
      <c r="V13" s="146">
        <v>436</v>
      </c>
      <c r="W13" s="146">
        <f t="shared" si="1"/>
        <v>1614</v>
      </c>
      <c r="X13" s="146">
        <v>788</v>
      </c>
      <c r="Y13" s="148">
        <v>826</v>
      </c>
      <c r="Z13" s="144">
        <f t="shared" si="0"/>
        <v>10441</v>
      </c>
      <c r="AA13" s="144">
        <f t="shared" si="0"/>
        <v>36083</v>
      </c>
      <c r="AB13" s="144">
        <f t="shared" si="0"/>
        <v>17521</v>
      </c>
      <c r="AC13" s="149">
        <f t="shared" si="0"/>
        <v>18562</v>
      </c>
    </row>
    <row r="14" spans="1:29" s="134" customFormat="1" ht="18.75" customHeight="1">
      <c r="A14" s="150">
        <v>60</v>
      </c>
      <c r="B14" s="144">
        <v>5669</v>
      </c>
      <c r="C14" s="144">
        <v>18032</v>
      </c>
      <c r="D14" s="144">
        <v>8658</v>
      </c>
      <c r="E14" s="144">
        <v>9374</v>
      </c>
      <c r="F14" s="146">
        <v>1489</v>
      </c>
      <c r="G14" s="146">
        <v>5257</v>
      </c>
      <c r="H14" s="146">
        <v>2584</v>
      </c>
      <c r="I14" s="147">
        <v>2673</v>
      </c>
      <c r="J14" s="146">
        <v>1671</v>
      </c>
      <c r="K14" s="146">
        <v>6453</v>
      </c>
      <c r="L14" s="146">
        <v>3087</v>
      </c>
      <c r="M14" s="147">
        <v>3366</v>
      </c>
      <c r="N14" s="146">
        <v>736</v>
      </c>
      <c r="O14" s="146">
        <v>2709</v>
      </c>
      <c r="P14" s="146">
        <v>1318</v>
      </c>
      <c r="Q14" s="147">
        <v>1391</v>
      </c>
      <c r="R14" s="146">
        <v>439</v>
      </c>
      <c r="S14" s="146">
        <f t="shared" si="2"/>
        <v>1499</v>
      </c>
      <c r="T14" s="146">
        <v>743</v>
      </c>
      <c r="U14" s="148">
        <v>756</v>
      </c>
      <c r="V14" s="146">
        <v>428</v>
      </c>
      <c r="W14" s="146">
        <f t="shared" si="1"/>
        <v>1510</v>
      </c>
      <c r="X14" s="146">
        <v>708</v>
      </c>
      <c r="Y14" s="148">
        <v>802</v>
      </c>
      <c r="Z14" s="144">
        <f t="shared" si="0"/>
        <v>10432</v>
      </c>
      <c r="AA14" s="144">
        <f t="shared" si="0"/>
        <v>35460</v>
      </c>
      <c r="AB14" s="144">
        <f t="shared" si="0"/>
        <v>17098</v>
      </c>
      <c r="AC14" s="149">
        <f t="shared" si="0"/>
        <v>18362</v>
      </c>
    </row>
    <row r="15" spans="1:29" s="134" customFormat="1" ht="18.75" customHeight="1">
      <c r="A15" s="53" t="s">
        <v>169</v>
      </c>
      <c r="B15" s="144">
        <v>5681</v>
      </c>
      <c r="C15" s="144">
        <v>17215</v>
      </c>
      <c r="D15" s="144">
        <v>8249</v>
      </c>
      <c r="E15" s="144">
        <v>8966</v>
      </c>
      <c r="F15" s="146">
        <v>1578</v>
      </c>
      <c r="G15" s="146">
        <v>5395</v>
      </c>
      <c r="H15" s="146">
        <v>2623</v>
      </c>
      <c r="I15" s="147">
        <v>2772</v>
      </c>
      <c r="J15" s="146">
        <v>1772</v>
      </c>
      <c r="K15" s="146">
        <v>6556</v>
      </c>
      <c r="L15" s="146">
        <v>3170</v>
      </c>
      <c r="M15" s="147">
        <v>3386</v>
      </c>
      <c r="N15" s="146">
        <v>679</v>
      </c>
      <c r="O15" s="146">
        <v>2431</v>
      </c>
      <c r="P15" s="146">
        <v>1181</v>
      </c>
      <c r="Q15" s="147">
        <v>1250</v>
      </c>
      <c r="R15" s="146">
        <v>386</v>
      </c>
      <c r="S15" s="146">
        <f t="shared" si="2"/>
        <v>1363</v>
      </c>
      <c r="T15" s="146">
        <v>684</v>
      </c>
      <c r="U15" s="148">
        <v>679</v>
      </c>
      <c r="V15" s="146">
        <v>406</v>
      </c>
      <c r="W15" s="146">
        <f t="shared" si="1"/>
        <v>1340</v>
      </c>
      <c r="X15" s="146">
        <v>634</v>
      </c>
      <c r="Y15" s="148">
        <v>706</v>
      </c>
      <c r="Z15" s="144">
        <f t="shared" si="0"/>
        <v>10502</v>
      </c>
      <c r="AA15" s="144">
        <f t="shared" si="0"/>
        <v>34300</v>
      </c>
      <c r="AB15" s="144">
        <f t="shared" si="0"/>
        <v>16541</v>
      </c>
      <c r="AC15" s="149">
        <f t="shared" si="0"/>
        <v>17759</v>
      </c>
    </row>
    <row r="16" spans="1:29" s="134" customFormat="1" ht="18.75" customHeight="1">
      <c r="A16" s="151">
        <v>7</v>
      </c>
      <c r="B16" s="144">
        <v>5522</v>
      </c>
      <c r="C16" s="144">
        <v>16130</v>
      </c>
      <c r="D16" s="144">
        <v>7786</v>
      </c>
      <c r="E16" s="144">
        <v>8344</v>
      </c>
      <c r="F16" s="146">
        <v>1631</v>
      </c>
      <c r="G16" s="146">
        <v>5379</v>
      </c>
      <c r="H16" s="146">
        <v>2633</v>
      </c>
      <c r="I16" s="147">
        <v>2746</v>
      </c>
      <c r="J16" s="146">
        <v>1965</v>
      </c>
      <c r="K16" s="146">
        <v>6783</v>
      </c>
      <c r="L16" s="146">
        <v>3310</v>
      </c>
      <c r="M16" s="147">
        <v>3473</v>
      </c>
      <c r="N16" s="146">
        <v>824</v>
      </c>
      <c r="O16" s="146">
        <v>2728</v>
      </c>
      <c r="P16" s="146">
        <v>1339</v>
      </c>
      <c r="Q16" s="147">
        <v>1389</v>
      </c>
      <c r="R16" s="146">
        <v>400</v>
      </c>
      <c r="S16" s="146">
        <f t="shared" si="2"/>
        <v>1315</v>
      </c>
      <c r="T16" s="146">
        <v>649</v>
      </c>
      <c r="U16" s="148">
        <v>666</v>
      </c>
      <c r="V16" s="146">
        <v>446</v>
      </c>
      <c r="W16" s="146">
        <f t="shared" si="1"/>
        <v>1320</v>
      </c>
      <c r="X16" s="146">
        <v>650</v>
      </c>
      <c r="Y16" s="148">
        <v>670</v>
      </c>
      <c r="Z16" s="144">
        <f t="shared" si="0"/>
        <v>10788</v>
      </c>
      <c r="AA16" s="144">
        <f t="shared" si="0"/>
        <v>33655</v>
      </c>
      <c r="AB16" s="144">
        <f t="shared" si="0"/>
        <v>16367</v>
      </c>
      <c r="AC16" s="149">
        <f t="shared" si="0"/>
        <v>17288</v>
      </c>
    </row>
    <row r="17" spans="1:29" s="134" customFormat="1" ht="18.75" customHeight="1">
      <c r="A17" s="150">
        <v>12</v>
      </c>
      <c r="B17" s="144">
        <v>5526</v>
      </c>
      <c r="C17" s="144">
        <v>15362</v>
      </c>
      <c r="D17" s="144">
        <v>7453</v>
      </c>
      <c r="E17" s="144">
        <v>7909</v>
      </c>
      <c r="F17" s="146">
        <v>1716</v>
      </c>
      <c r="G17" s="146">
        <v>5382</v>
      </c>
      <c r="H17" s="146">
        <v>2638</v>
      </c>
      <c r="I17" s="147">
        <v>2744</v>
      </c>
      <c r="J17" s="146">
        <v>2220</v>
      </c>
      <c r="K17" s="146">
        <v>7288</v>
      </c>
      <c r="L17" s="146">
        <v>3513</v>
      </c>
      <c r="M17" s="147">
        <v>3775</v>
      </c>
      <c r="N17" s="146">
        <v>940</v>
      </c>
      <c r="O17" s="146">
        <v>2979</v>
      </c>
      <c r="P17" s="146">
        <v>1466</v>
      </c>
      <c r="Q17" s="147">
        <v>1513</v>
      </c>
      <c r="R17" s="146">
        <v>407</v>
      </c>
      <c r="S17" s="146">
        <f t="shared" si="2"/>
        <v>1257</v>
      </c>
      <c r="T17" s="146">
        <v>626</v>
      </c>
      <c r="U17" s="147">
        <v>631</v>
      </c>
      <c r="V17" s="146">
        <v>435</v>
      </c>
      <c r="W17" s="146">
        <f t="shared" si="1"/>
        <v>1282</v>
      </c>
      <c r="X17" s="146">
        <v>612</v>
      </c>
      <c r="Y17" s="147">
        <v>670</v>
      </c>
      <c r="Z17" s="144">
        <f t="shared" si="0"/>
        <v>11244</v>
      </c>
      <c r="AA17" s="144">
        <f t="shared" si="0"/>
        <v>33550</v>
      </c>
      <c r="AB17" s="144">
        <f t="shared" si="0"/>
        <v>16308</v>
      </c>
      <c r="AC17" s="149">
        <f t="shared" si="0"/>
        <v>17242</v>
      </c>
    </row>
    <row r="18" spans="1:29" s="134" customFormat="1" ht="18.75" customHeight="1">
      <c r="A18" s="150">
        <v>17</v>
      </c>
      <c r="B18" s="144">
        <v>5301</v>
      </c>
      <c r="C18" s="144">
        <v>14446</v>
      </c>
      <c r="D18" s="144">
        <v>7008</v>
      </c>
      <c r="E18" s="144">
        <v>7438</v>
      </c>
      <c r="F18" s="146">
        <v>1790</v>
      </c>
      <c r="G18" s="146">
        <v>5229</v>
      </c>
      <c r="H18" s="146">
        <v>2536</v>
      </c>
      <c r="I18" s="147">
        <v>2693</v>
      </c>
      <c r="J18" s="146">
        <v>2395</v>
      </c>
      <c r="K18" s="146">
        <v>7306</v>
      </c>
      <c r="L18" s="146">
        <v>3521</v>
      </c>
      <c r="M18" s="147">
        <v>3785</v>
      </c>
      <c r="N18" s="146">
        <v>953</v>
      </c>
      <c r="O18" s="146">
        <v>2817</v>
      </c>
      <c r="P18" s="146">
        <v>1381</v>
      </c>
      <c r="Q18" s="147">
        <v>1436</v>
      </c>
      <c r="R18" s="146">
        <v>371</v>
      </c>
      <c r="S18" s="146">
        <f t="shared" si="2"/>
        <v>1112</v>
      </c>
      <c r="T18" s="146">
        <v>532</v>
      </c>
      <c r="U18" s="147">
        <v>580</v>
      </c>
      <c r="V18" s="146">
        <v>430</v>
      </c>
      <c r="W18" s="146">
        <f>X18+Y18</f>
        <v>1235</v>
      </c>
      <c r="X18" s="146">
        <v>593</v>
      </c>
      <c r="Y18" s="147">
        <v>642</v>
      </c>
      <c r="Z18" s="144">
        <f t="shared" si="0"/>
        <v>11240</v>
      </c>
      <c r="AA18" s="144">
        <f t="shared" si="0"/>
        <v>32145</v>
      </c>
      <c r="AB18" s="144">
        <f t="shared" si="0"/>
        <v>15571</v>
      </c>
      <c r="AC18" s="149">
        <f t="shared" si="0"/>
        <v>16574</v>
      </c>
    </row>
    <row r="19" spans="1:29" s="134" customFormat="1" ht="18.75" customHeight="1">
      <c r="A19" s="150">
        <v>22</v>
      </c>
      <c r="B19" s="144">
        <v>5216</v>
      </c>
      <c r="C19" s="144">
        <v>13385</v>
      </c>
      <c r="D19" s="144">
        <v>6490</v>
      </c>
      <c r="E19" s="144">
        <v>6895</v>
      </c>
      <c r="F19" s="146">
        <v>1776</v>
      </c>
      <c r="G19" s="146">
        <v>4803</v>
      </c>
      <c r="H19" s="146">
        <v>2355</v>
      </c>
      <c r="I19" s="147">
        <v>2448</v>
      </c>
      <c r="J19" s="146">
        <v>2372</v>
      </c>
      <c r="K19" s="146">
        <v>6951</v>
      </c>
      <c r="L19" s="146">
        <v>3311</v>
      </c>
      <c r="M19" s="147">
        <v>3640</v>
      </c>
      <c r="N19" s="146">
        <v>942</v>
      </c>
      <c r="O19" s="146">
        <v>2651</v>
      </c>
      <c r="P19" s="146">
        <v>1289</v>
      </c>
      <c r="Q19" s="147">
        <v>1362</v>
      </c>
      <c r="R19" s="146">
        <v>340</v>
      </c>
      <c r="S19" s="146">
        <v>925</v>
      </c>
      <c r="T19" s="146">
        <v>458</v>
      </c>
      <c r="U19" s="147">
        <v>467</v>
      </c>
      <c r="V19" s="146">
        <v>408</v>
      </c>
      <c r="W19" s="146">
        <v>1086</v>
      </c>
      <c r="X19" s="146">
        <v>526</v>
      </c>
      <c r="Y19" s="147">
        <v>560</v>
      </c>
      <c r="Z19" s="144">
        <f t="shared" si="0"/>
        <v>11054</v>
      </c>
      <c r="AA19" s="144">
        <f t="shared" si="0"/>
        <v>29801</v>
      </c>
      <c r="AB19" s="144">
        <f t="shared" si="0"/>
        <v>14429</v>
      </c>
      <c r="AC19" s="149">
        <f t="shared" si="0"/>
        <v>15372</v>
      </c>
    </row>
    <row r="20" spans="1:29" s="134" customFormat="1" ht="18.75" customHeight="1">
      <c r="A20" s="150">
        <v>27</v>
      </c>
      <c r="B20" s="144">
        <v>5128</v>
      </c>
      <c r="C20" s="144">
        <v>12742</v>
      </c>
      <c r="D20" s="144">
        <v>6139</v>
      </c>
      <c r="E20" s="144">
        <v>6603</v>
      </c>
      <c r="F20" s="146">
        <v>1718</v>
      </c>
      <c r="G20" s="146">
        <v>4411</v>
      </c>
      <c r="H20" s="146">
        <v>2153</v>
      </c>
      <c r="I20" s="147">
        <v>2258</v>
      </c>
      <c r="J20" s="146">
        <v>2350</v>
      </c>
      <c r="K20" s="146">
        <v>6661</v>
      </c>
      <c r="L20" s="146">
        <v>3202</v>
      </c>
      <c r="M20" s="147">
        <v>3459</v>
      </c>
      <c r="N20" s="146">
        <v>922</v>
      </c>
      <c r="O20" s="146">
        <v>2444</v>
      </c>
      <c r="P20" s="146">
        <v>1206</v>
      </c>
      <c r="Q20" s="147">
        <v>1238</v>
      </c>
      <c r="R20" s="146">
        <v>326</v>
      </c>
      <c r="S20" s="146">
        <v>848</v>
      </c>
      <c r="T20" s="146">
        <v>412</v>
      </c>
      <c r="U20" s="147">
        <v>436</v>
      </c>
      <c r="V20" s="146">
        <v>382</v>
      </c>
      <c r="W20" s="146">
        <v>935</v>
      </c>
      <c r="X20" s="146">
        <v>443</v>
      </c>
      <c r="Y20" s="147">
        <v>492</v>
      </c>
      <c r="Z20" s="144">
        <v>10826</v>
      </c>
      <c r="AA20" s="144">
        <v>28041</v>
      </c>
      <c r="AB20" s="144">
        <v>13555</v>
      </c>
      <c r="AC20" s="149">
        <v>14486</v>
      </c>
    </row>
    <row r="21" spans="1:29" s="134" customFormat="1" ht="18.75" customHeight="1" thickBot="1">
      <c r="A21" s="152" t="s">
        <v>43</v>
      </c>
      <c r="B21" s="153">
        <v>5039</v>
      </c>
      <c r="C21" s="153">
        <f>+D21+E21</f>
        <v>11852</v>
      </c>
      <c r="D21" s="153">
        <v>5718</v>
      </c>
      <c r="E21" s="153">
        <v>6134</v>
      </c>
      <c r="F21" s="154">
        <v>1660</v>
      </c>
      <c r="G21" s="154">
        <f>+H21+I21</f>
        <v>3965</v>
      </c>
      <c r="H21" s="154">
        <v>1946</v>
      </c>
      <c r="I21" s="155">
        <v>2019</v>
      </c>
      <c r="J21" s="154">
        <v>2472</v>
      </c>
      <c r="K21" s="154">
        <v>6392</v>
      </c>
      <c r="L21" s="154">
        <v>3070</v>
      </c>
      <c r="M21" s="155">
        <v>3322</v>
      </c>
      <c r="N21" s="154">
        <v>905</v>
      </c>
      <c r="O21" s="154">
        <v>2214</v>
      </c>
      <c r="P21" s="154">
        <v>1082</v>
      </c>
      <c r="Q21" s="155">
        <v>1132</v>
      </c>
      <c r="R21" s="154">
        <v>308</v>
      </c>
      <c r="S21" s="156">
        <v>755</v>
      </c>
      <c r="T21" s="154">
        <v>369</v>
      </c>
      <c r="U21" s="155">
        <v>386</v>
      </c>
      <c r="V21" s="154">
        <v>355</v>
      </c>
      <c r="W21" s="156">
        <v>851</v>
      </c>
      <c r="X21" s="154">
        <v>409</v>
      </c>
      <c r="Y21" s="155">
        <v>442</v>
      </c>
      <c r="Z21" s="154">
        <v>10739</v>
      </c>
      <c r="AA21" s="156">
        <v>26029</v>
      </c>
      <c r="AB21" s="154">
        <v>12594</v>
      </c>
      <c r="AC21" s="155">
        <v>13435</v>
      </c>
    </row>
    <row r="22" spans="1:29" ht="18.75" customHeight="1">
      <c r="A22" s="2212" t="s">
        <v>172</v>
      </c>
      <c r="B22" s="2212"/>
      <c r="C22" s="157"/>
      <c r="D22" s="158"/>
      <c r="E22" s="158"/>
      <c r="G22" s="134"/>
      <c r="H22" s="134"/>
    </row>
    <row r="23" spans="1:29" ht="18.75" customHeight="1">
      <c r="A23" s="134" t="s">
        <v>212</v>
      </c>
    </row>
    <row r="24" spans="1:29" ht="18.75" customHeight="1">
      <c r="A24" s="134" t="s">
        <v>213</v>
      </c>
    </row>
  </sheetData>
  <mergeCells count="9">
    <mergeCell ref="R2:U2"/>
    <mergeCell ref="V2:Y2"/>
    <mergeCell ref="Z2:AC2"/>
    <mergeCell ref="A22:B22"/>
    <mergeCell ref="A2:A3"/>
    <mergeCell ref="B2:E2"/>
    <mergeCell ref="F2:I2"/>
    <mergeCell ref="J2:M2"/>
    <mergeCell ref="N2:Q2"/>
  </mergeCells>
  <phoneticPr fontId="4"/>
  <printOptions horizontalCentered="1"/>
  <pageMargins left="0.70866141732283472" right="0.70866141732283472" top="0.74803149606299213" bottom="0.74803149606299213" header="0.31496062992125984" footer="0.31496062992125984"/>
  <pageSetup paperSize="9" scale="60" fitToHeight="0" orientation="landscape"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9DD46-CA85-43B0-9994-90567AA1B532}">
  <sheetPr codeName="Sheet81">
    <pageSetUpPr fitToPage="1"/>
  </sheetPr>
  <dimension ref="A1:N25"/>
  <sheetViews>
    <sheetView showGridLines="0" workbookViewId="0"/>
  </sheetViews>
  <sheetFormatPr defaultColWidth="9" defaultRowHeight="10.8"/>
  <cols>
    <col min="1" max="1" width="6.59765625" style="11" customWidth="1"/>
    <col min="2" max="13" width="6.09765625" style="11" customWidth="1"/>
    <col min="14" max="16384" width="9" style="11"/>
  </cols>
  <sheetData>
    <row r="1" spans="1:14" ht="30" customHeight="1" thickBot="1">
      <c r="A1" s="259" t="s">
        <v>1977</v>
      </c>
      <c r="M1" s="260" t="s">
        <v>1978</v>
      </c>
    </row>
    <row r="2" spans="1:14" ht="22.5" customHeight="1">
      <c r="A2" s="2185" t="s">
        <v>1960</v>
      </c>
      <c r="B2" s="2572" t="s">
        <v>1961</v>
      </c>
      <c r="C2" s="2572"/>
      <c r="D2" s="2572"/>
      <c r="E2" s="2572" t="s">
        <v>1962</v>
      </c>
      <c r="F2" s="2572"/>
      <c r="G2" s="2572"/>
      <c r="H2" s="2572" t="s">
        <v>1979</v>
      </c>
      <c r="I2" s="2572"/>
      <c r="J2" s="2572"/>
      <c r="K2" s="2572" t="s">
        <v>1965</v>
      </c>
      <c r="L2" s="2572"/>
      <c r="M2" s="2183"/>
    </row>
    <row r="3" spans="1:14" ht="22.5" customHeight="1">
      <c r="A3" s="2611"/>
      <c r="B3" s="130" t="s">
        <v>1966</v>
      </c>
      <c r="C3" s="130" t="s">
        <v>1967</v>
      </c>
      <c r="D3" s="130" t="s">
        <v>1968</v>
      </c>
      <c r="E3" s="130" t="s">
        <v>1966</v>
      </c>
      <c r="F3" s="130" t="s">
        <v>1967</v>
      </c>
      <c r="G3" s="130" t="s">
        <v>1968</v>
      </c>
      <c r="H3" s="130" t="s">
        <v>1966</v>
      </c>
      <c r="I3" s="130" t="s">
        <v>1967</v>
      </c>
      <c r="J3" s="130" t="s">
        <v>1968</v>
      </c>
      <c r="K3" s="130" t="s">
        <v>1966</v>
      </c>
      <c r="L3" s="130" t="s">
        <v>1967</v>
      </c>
      <c r="M3" s="159" t="s">
        <v>1968</v>
      </c>
      <c r="N3" s="253"/>
    </row>
    <row r="4" spans="1:14" ht="22.5" customHeight="1">
      <c r="A4" s="247" t="s">
        <v>314</v>
      </c>
      <c r="B4" s="229">
        <v>232</v>
      </c>
      <c r="C4" s="229">
        <v>232</v>
      </c>
      <c r="D4" s="995" t="s">
        <v>305</v>
      </c>
      <c r="E4" s="995" t="s">
        <v>305</v>
      </c>
      <c r="F4" s="995" t="s">
        <v>305</v>
      </c>
      <c r="G4" s="995" t="s">
        <v>305</v>
      </c>
      <c r="H4" s="256">
        <v>189</v>
      </c>
      <c r="I4" s="256">
        <v>189</v>
      </c>
      <c r="J4" s="89" t="s">
        <v>305</v>
      </c>
      <c r="K4" s="853">
        <v>43</v>
      </c>
      <c r="L4" s="853">
        <v>43</v>
      </c>
      <c r="M4" s="996" t="s">
        <v>305</v>
      </c>
    </row>
    <row r="5" spans="1:14" ht="22.5" customHeight="1">
      <c r="A5" s="595">
        <v>21</v>
      </c>
      <c r="B5" s="229">
        <v>180</v>
      </c>
      <c r="C5" s="229">
        <v>175</v>
      </c>
      <c r="D5" s="995">
        <v>5</v>
      </c>
      <c r="E5" s="995" t="s">
        <v>305</v>
      </c>
      <c r="F5" s="995" t="s">
        <v>305</v>
      </c>
      <c r="G5" s="995" t="s">
        <v>305</v>
      </c>
      <c r="H5" s="256">
        <v>134</v>
      </c>
      <c r="I5" s="256">
        <v>129</v>
      </c>
      <c r="J5" s="89">
        <v>5</v>
      </c>
      <c r="K5" s="853">
        <v>46</v>
      </c>
      <c r="L5" s="853">
        <v>46</v>
      </c>
      <c r="M5" s="996" t="s">
        <v>305</v>
      </c>
    </row>
    <row r="6" spans="1:14" ht="22.5" customHeight="1">
      <c r="A6" s="595">
        <v>22</v>
      </c>
      <c r="B6" s="997">
        <v>223</v>
      </c>
      <c r="C6" s="997">
        <v>228</v>
      </c>
      <c r="D6" s="997" t="s">
        <v>305</v>
      </c>
      <c r="E6" s="997" t="s">
        <v>305</v>
      </c>
      <c r="F6" s="997" t="s">
        <v>305</v>
      </c>
      <c r="G6" s="997" t="s">
        <v>305</v>
      </c>
      <c r="H6" s="256">
        <v>187</v>
      </c>
      <c r="I6" s="256">
        <v>192</v>
      </c>
      <c r="J6" s="256" t="s">
        <v>305</v>
      </c>
      <c r="K6" s="256">
        <v>36</v>
      </c>
      <c r="L6" s="256">
        <v>36</v>
      </c>
      <c r="M6" s="998" t="s">
        <v>305</v>
      </c>
    </row>
    <row r="7" spans="1:14" ht="22.5" customHeight="1">
      <c r="A7" s="595">
        <v>23</v>
      </c>
      <c r="B7" s="997">
        <v>218</v>
      </c>
      <c r="C7" s="997">
        <v>218</v>
      </c>
      <c r="D7" s="997" t="s">
        <v>431</v>
      </c>
      <c r="E7" s="997" t="s">
        <v>431</v>
      </c>
      <c r="F7" s="997" t="s">
        <v>431</v>
      </c>
      <c r="G7" s="997" t="s">
        <v>431</v>
      </c>
      <c r="H7" s="256">
        <v>187</v>
      </c>
      <c r="I7" s="256">
        <v>187</v>
      </c>
      <c r="J7" s="256" t="s">
        <v>431</v>
      </c>
      <c r="K7" s="256">
        <v>31</v>
      </c>
      <c r="L7" s="256">
        <v>31</v>
      </c>
      <c r="M7" s="998" t="s">
        <v>431</v>
      </c>
    </row>
    <row r="8" spans="1:14" ht="22.5" customHeight="1">
      <c r="A8" s="595">
        <v>24</v>
      </c>
      <c r="B8" s="997">
        <v>140</v>
      </c>
      <c r="C8" s="997">
        <v>138</v>
      </c>
      <c r="D8" s="997">
        <v>2</v>
      </c>
      <c r="E8" s="997" t="s">
        <v>431</v>
      </c>
      <c r="F8" s="997" t="s">
        <v>431</v>
      </c>
      <c r="G8" s="997" t="s">
        <v>431</v>
      </c>
      <c r="H8" s="256">
        <v>111</v>
      </c>
      <c r="I8" s="256">
        <v>109</v>
      </c>
      <c r="J8" s="256">
        <v>2</v>
      </c>
      <c r="K8" s="256">
        <v>29</v>
      </c>
      <c r="L8" s="256">
        <v>29</v>
      </c>
      <c r="M8" s="998" t="s">
        <v>431</v>
      </c>
    </row>
    <row r="9" spans="1:14" ht="22.5" customHeight="1">
      <c r="A9" s="595">
        <v>25</v>
      </c>
      <c r="B9" s="997">
        <v>159</v>
      </c>
      <c r="C9" s="997">
        <v>152</v>
      </c>
      <c r="D9" s="997">
        <v>9</v>
      </c>
      <c r="E9" s="997" t="s">
        <v>431</v>
      </c>
      <c r="F9" s="997" t="s">
        <v>431</v>
      </c>
      <c r="G9" s="997" t="s">
        <v>431</v>
      </c>
      <c r="H9" s="256">
        <v>117</v>
      </c>
      <c r="I9" s="256">
        <v>110</v>
      </c>
      <c r="J9" s="256">
        <v>9</v>
      </c>
      <c r="K9" s="256">
        <v>42</v>
      </c>
      <c r="L9" s="256">
        <v>42</v>
      </c>
      <c r="M9" s="998" t="s">
        <v>431</v>
      </c>
    </row>
    <row r="10" spans="1:14" ht="22.5" customHeight="1">
      <c r="A10" s="595">
        <v>26</v>
      </c>
      <c r="B10" s="997">
        <v>144</v>
      </c>
      <c r="C10" s="997">
        <v>145</v>
      </c>
      <c r="D10" s="997">
        <v>8</v>
      </c>
      <c r="E10" s="997" t="s">
        <v>431</v>
      </c>
      <c r="F10" s="997" t="s">
        <v>431</v>
      </c>
      <c r="G10" s="997" t="s">
        <v>431</v>
      </c>
      <c r="H10" s="256">
        <v>98</v>
      </c>
      <c r="I10" s="256">
        <v>99</v>
      </c>
      <c r="J10" s="256">
        <v>8</v>
      </c>
      <c r="K10" s="256">
        <v>46</v>
      </c>
      <c r="L10" s="256">
        <v>46</v>
      </c>
      <c r="M10" s="998" t="s">
        <v>431</v>
      </c>
    </row>
    <row r="11" spans="1:14" ht="22.5" customHeight="1">
      <c r="A11" s="595">
        <v>27</v>
      </c>
      <c r="B11" s="997">
        <v>126</v>
      </c>
      <c r="C11" s="997">
        <v>127</v>
      </c>
      <c r="D11" s="997">
        <v>7</v>
      </c>
      <c r="E11" s="997" t="s">
        <v>431</v>
      </c>
      <c r="F11" s="997" t="s">
        <v>431</v>
      </c>
      <c r="G11" s="997" t="s">
        <v>431</v>
      </c>
      <c r="H11" s="256">
        <v>93</v>
      </c>
      <c r="I11" s="256">
        <v>94</v>
      </c>
      <c r="J11" s="997">
        <v>7</v>
      </c>
      <c r="K11" s="256">
        <v>33</v>
      </c>
      <c r="L11" s="256">
        <v>33</v>
      </c>
      <c r="M11" s="998" t="s">
        <v>431</v>
      </c>
    </row>
    <row r="12" spans="1:14" ht="22.5" customHeight="1">
      <c r="A12" s="595">
        <v>28</v>
      </c>
      <c r="B12" s="997">
        <v>131</v>
      </c>
      <c r="C12" s="997">
        <v>132</v>
      </c>
      <c r="D12" s="997">
        <v>6</v>
      </c>
      <c r="E12" s="997" t="s">
        <v>431</v>
      </c>
      <c r="F12" s="997" t="s">
        <v>431</v>
      </c>
      <c r="G12" s="997" t="s">
        <v>431</v>
      </c>
      <c r="H12" s="256">
        <v>86</v>
      </c>
      <c r="I12" s="256">
        <v>87</v>
      </c>
      <c r="J12" s="997">
        <v>6</v>
      </c>
      <c r="K12" s="256">
        <v>45</v>
      </c>
      <c r="L12" s="256">
        <v>45</v>
      </c>
      <c r="M12" s="998" t="s">
        <v>431</v>
      </c>
    </row>
    <row r="13" spans="1:14" ht="22.5" customHeight="1">
      <c r="A13" s="595">
        <v>29</v>
      </c>
      <c r="B13" s="997">
        <v>154</v>
      </c>
      <c r="C13" s="997">
        <v>153</v>
      </c>
      <c r="D13" s="997">
        <v>7</v>
      </c>
      <c r="E13" s="997">
        <v>1</v>
      </c>
      <c r="F13" s="997" t="s">
        <v>431</v>
      </c>
      <c r="G13" s="997">
        <v>1</v>
      </c>
      <c r="H13" s="256">
        <v>96</v>
      </c>
      <c r="I13" s="256">
        <v>96</v>
      </c>
      <c r="J13" s="997">
        <v>6</v>
      </c>
      <c r="K13" s="256">
        <v>57</v>
      </c>
      <c r="L13" s="256">
        <v>57</v>
      </c>
      <c r="M13" s="998" t="s">
        <v>431</v>
      </c>
    </row>
    <row r="14" spans="1:14" ht="22.5" customHeight="1">
      <c r="A14" s="595">
        <v>30</v>
      </c>
      <c r="B14" s="997">
        <v>182</v>
      </c>
      <c r="C14" s="997">
        <v>183</v>
      </c>
      <c r="D14" s="997">
        <v>6</v>
      </c>
      <c r="E14" s="997">
        <v>1</v>
      </c>
      <c r="F14" s="997">
        <v>2</v>
      </c>
      <c r="G14" s="997" t="s">
        <v>431</v>
      </c>
      <c r="H14" s="256">
        <v>87</v>
      </c>
      <c r="I14" s="256">
        <v>87</v>
      </c>
      <c r="J14" s="997">
        <v>6</v>
      </c>
      <c r="K14" s="256">
        <v>94</v>
      </c>
      <c r="L14" s="256">
        <v>94</v>
      </c>
      <c r="M14" s="998" t="s">
        <v>431</v>
      </c>
    </row>
    <row r="15" spans="1:14" ht="22.5" customHeight="1">
      <c r="A15" s="595" t="s">
        <v>79</v>
      </c>
      <c r="B15" s="997">
        <v>98</v>
      </c>
      <c r="C15" s="997">
        <v>102</v>
      </c>
      <c r="D15" s="997">
        <v>2</v>
      </c>
      <c r="E15" s="997">
        <v>1</v>
      </c>
      <c r="F15" s="997" t="s">
        <v>431</v>
      </c>
      <c r="G15" s="997">
        <v>1</v>
      </c>
      <c r="H15" s="256">
        <v>52</v>
      </c>
      <c r="I15" s="256">
        <v>57</v>
      </c>
      <c r="J15" s="997">
        <v>1</v>
      </c>
      <c r="K15" s="256">
        <v>45</v>
      </c>
      <c r="L15" s="256">
        <v>45</v>
      </c>
      <c r="M15" s="998" t="s">
        <v>431</v>
      </c>
    </row>
    <row r="16" spans="1:14" ht="22.5" customHeight="1">
      <c r="A16" s="595">
        <v>2</v>
      </c>
      <c r="B16" s="997">
        <v>151</v>
      </c>
      <c r="C16" s="997">
        <v>151</v>
      </c>
      <c r="D16" s="997">
        <v>2</v>
      </c>
      <c r="E16" s="997" t="s">
        <v>431</v>
      </c>
      <c r="F16" s="997">
        <v>1</v>
      </c>
      <c r="G16" s="997" t="s">
        <v>431</v>
      </c>
      <c r="H16" s="256">
        <v>52</v>
      </c>
      <c r="I16" s="256">
        <v>51</v>
      </c>
      <c r="J16" s="997">
        <v>2</v>
      </c>
      <c r="K16" s="256">
        <v>99</v>
      </c>
      <c r="L16" s="256">
        <v>99</v>
      </c>
      <c r="M16" s="998" t="s">
        <v>431</v>
      </c>
    </row>
    <row r="17" spans="1:13" ht="22.5" customHeight="1">
      <c r="A17" s="595">
        <v>3</v>
      </c>
      <c r="B17" s="999">
        <v>74</v>
      </c>
      <c r="C17" s="999">
        <v>76</v>
      </c>
      <c r="D17" s="999" t="s">
        <v>431</v>
      </c>
      <c r="E17" s="999" t="s">
        <v>431</v>
      </c>
      <c r="F17" s="999" t="s">
        <v>431</v>
      </c>
      <c r="G17" s="999" t="s">
        <v>431</v>
      </c>
      <c r="H17" s="724">
        <v>51</v>
      </c>
      <c r="I17" s="724">
        <v>53</v>
      </c>
      <c r="J17" s="999" t="s">
        <v>431</v>
      </c>
      <c r="K17" s="724">
        <v>23</v>
      </c>
      <c r="L17" s="724">
        <v>23</v>
      </c>
      <c r="M17" s="1000" t="s">
        <v>431</v>
      </c>
    </row>
    <row r="18" spans="1:13" ht="22.5" customHeight="1">
      <c r="A18" s="595">
        <v>4</v>
      </c>
      <c r="B18" s="999">
        <v>71</v>
      </c>
      <c r="C18" s="999">
        <v>66</v>
      </c>
      <c r="D18" s="999">
        <v>5</v>
      </c>
      <c r="E18" s="999" t="s">
        <v>431</v>
      </c>
      <c r="F18" s="999" t="s">
        <v>431</v>
      </c>
      <c r="G18" s="999" t="s">
        <v>431</v>
      </c>
      <c r="H18" s="724">
        <v>43</v>
      </c>
      <c r="I18" s="724">
        <v>38</v>
      </c>
      <c r="J18" s="999">
        <v>5</v>
      </c>
      <c r="K18" s="724">
        <v>28</v>
      </c>
      <c r="L18" s="724">
        <v>28</v>
      </c>
      <c r="M18" s="1000" t="s">
        <v>431</v>
      </c>
    </row>
    <row r="19" spans="1:13" s="171" customFormat="1" ht="22.5" customHeight="1">
      <c r="A19" s="1001">
        <v>5</v>
      </c>
      <c r="B19" s="1002">
        <v>98</v>
      </c>
      <c r="C19" s="1002">
        <v>101</v>
      </c>
      <c r="D19" s="1002">
        <v>2</v>
      </c>
      <c r="E19" s="1002">
        <v>3</v>
      </c>
      <c r="F19" s="1002">
        <v>3</v>
      </c>
      <c r="G19" s="1002" t="s">
        <v>431</v>
      </c>
      <c r="H19" s="462">
        <v>66</v>
      </c>
      <c r="I19" s="462">
        <v>69</v>
      </c>
      <c r="J19" s="1002">
        <v>2</v>
      </c>
      <c r="K19" s="462">
        <v>29</v>
      </c>
      <c r="L19" s="462">
        <v>29</v>
      </c>
      <c r="M19" s="1003" t="s">
        <v>431</v>
      </c>
    </row>
    <row r="20" spans="1:13" s="171" customFormat="1" ht="22.5" customHeight="1" thickBot="1">
      <c r="A20" s="1004"/>
      <c r="B20" s="483"/>
      <c r="C20" s="483"/>
      <c r="D20" s="483"/>
      <c r="E20" s="483"/>
      <c r="F20" s="483"/>
      <c r="G20" s="483"/>
      <c r="H20" s="469"/>
      <c r="I20" s="469"/>
      <c r="J20" s="483"/>
      <c r="K20" s="469"/>
      <c r="L20" s="469"/>
      <c r="M20" s="1005"/>
    </row>
    <row r="21" spans="1:13" ht="22.5" customHeight="1">
      <c r="A21" s="11" t="s">
        <v>1970</v>
      </c>
    </row>
    <row r="22" spans="1:13" ht="22.5" customHeight="1">
      <c r="A22" s="11" t="s">
        <v>1980</v>
      </c>
    </row>
    <row r="23" spans="1:13" ht="22.5" customHeight="1">
      <c r="A23" s="11" t="s">
        <v>1972</v>
      </c>
    </row>
    <row r="24" spans="1:13" ht="22.5" customHeight="1">
      <c r="A24" s="11" t="s">
        <v>1973</v>
      </c>
    </row>
    <row r="25" spans="1:13" ht="22.5" customHeight="1">
      <c r="A25" s="11" t="s">
        <v>1981</v>
      </c>
    </row>
  </sheetData>
  <mergeCells count="5">
    <mergeCell ref="A2:A3"/>
    <mergeCell ref="B2:D2"/>
    <mergeCell ref="E2:G2"/>
    <mergeCell ref="H2:J2"/>
    <mergeCell ref="K2:M2"/>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5EBE7-28D7-45F2-A1FD-0719F9924574}">
  <sheetPr codeName="Sheet82">
    <pageSetUpPr fitToPage="1"/>
  </sheetPr>
  <dimension ref="A1:M28"/>
  <sheetViews>
    <sheetView showGridLines="0" workbookViewId="0"/>
  </sheetViews>
  <sheetFormatPr defaultColWidth="9" defaultRowHeight="10.8"/>
  <cols>
    <col min="1" max="1" width="7.59765625" style="11" customWidth="1"/>
    <col min="2" max="13" width="5.8984375" style="11" customWidth="1"/>
    <col min="14" max="16384" width="9" style="11"/>
  </cols>
  <sheetData>
    <row r="1" spans="1:13" ht="30" customHeight="1" thickBot="1">
      <c r="A1" s="259" t="s">
        <v>1982</v>
      </c>
      <c r="M1" s="260" t="s">
        <v>1959</v>
      </c>
    </row>
    <row r="2" spans="1:13" ht="19.5" customHeight="1">
      <c r="A2" s="2185" t="s">
        <v>1960</v>
      </c>
      <c r="B2" s="2572" t="s">
        <v>1961</v>
      </c>
      <c r="C2" s="2572"/>
      <c r="D2" s="2572"/>
      <c r="E2" s="2572" t="s">
        <v>1983</v>
      </c>
      <c r="F2" s="2572"/>
      <c r="G2" s="2572"/>
      <c r="H2" s="2572" t="s">
        <v>1984</v>
      </c>
      <c r="I2" s="2572"/>
      <c r="J2" s="2572"/>
      <c r="K2" s="2572" t="s">
        <v>1985</v>
      </c>
      <c r="L2" s="2572"/>
      <c r="M2" s="2183"/>
    </row>
    <row r="3" spans="1:13" ht="19.5" customHeight="1">
      <c r="A3" s="2611"/>
      <c r="B3" s="130" t="s">
        <v>1966</v>
      </c>
      <c r="C3" s="130" t="s">
        <v>1967</v>
      </c>
      <c r="D3" s="130" t="s">
        <v>1968</v>
      </c>
      <c r="E3" s="130" t="s">
        <v>1966</v>
      </c>
      <c r="F3" s="130" t="s">
        <v>1967</v>
      </c>
      <c r="G3" s="130" t="s">
        <v>1968</v>
      </c>
      <c r="H3" s="130" t="s">
        <v>1966</v>
      </c>
      <c r="I3" s="130" t="s">
        <v>1967</v>
      </c>
      <c r="J3" s="130" t="s">
        <v>1968</v>
      </c>
      <c r="K3" s="130" t="s">
        <v>1966</v>
      </c>
      <c r="L3" s="130" t="s">
        <v>1967</v>
      </c>
      <c r="M3" s="159" t="s">
        <v>1968</v>
      </c>
    </row>
    <row r="4" spans="1:13" ht="19.5" customHeight="1">
      <c r="A4" s="247" t="s">
        <v>1969</v>
      </c>
      <c r="B4" s="229">
        <v>2709</v>
      </c>
      <c r="C4" s="229">
        <v>2717</v>
      </c>
      <c r="D4" s="995">
        <v>411</v>
      </c>
      <c r="E4" s="1006">
        <v>1979</v>
      </c>
      <c r="F4" s="1006">
        <v>2029</v>
      </c>
      <c r="G4" s="995">
        <v>171</v>
      </c>
      <c r="H4" s="256">
        <v>640</v>
      </c>
      <c r="I4" s="256">
        <v>593</v>
      </c>
      <c r="J4" s="89">
        <v>235</v>
      </c>
      <c r="K4" s="853">
        <v>90</v>
      </c>
      <c r="L4" s="853">
        <v>95</v>
      </c>
      <c r="M4" s="240">
        <v>5</v>
      </c>
    </row>
    <row r="5" spans="1:13" ht="19.5" customHeight="1">
      <c r="A5" s="247">
        <v>16</v>
      </c>
      <c r="B5" s="229">
        <v>2749</v>
      </c>
      <c r="C5" s="229">
        <v>2765</v>
      </c>
      <c r="D5" s="995">
        <v>395</v>
      </c>
      <c r="E5" s="1006">
        <v>2031</v>
      </c>
      <c r="F5" s="1006">
        <v>2045</v>
      </c>
      <c r="G5" s="995">
        <v>157</v>
      </c>
      <c r="H5" s="256">
        <v>575</v>
      </c>
      <c r="I5" s="256">
        <v>609</v>
      </c>
      <c r="J5" s="89">
        <v>201</v>
      </c>
      <c r="K5" s="853">
        <v>143</v>
      </c>
      <c r="L5" s="853">
        <v>111</v>
      </c>
      <c r="M5" s="240">
        <v>37</v>
      </c>
    </row>
    <row r="6" spans="1:13" ht="19.5" customHeight="1">
      <c r="A6" s="247">
        <v>17</v>
      </c>
      <c r="B6" s="990">
        <v>2875</v>
      </c>
      <c r="C6" s="990">
        <v>2752</v>
      </c>
      <c r="D6" s="990">
        <v>518</v>
      </c>
      <c r="E6" s="990">
        <v>2067</v>
      </c>
      <c r="F6" s="990">
        <v>1979</v>
      </c>
      <c r="G6" s="990">
        <v>245</v>
      </c>
      <c r="H6" s="161">
        <v>574</v>
      </c>
      <c r="I6" s="161">
        <v>573</v>
      </c>
      <c r="J6" s="161">
        <v>202</v>
      </c>
      <c r="K6" s="161">
        <v>234</v>
      </c>
      <c r="L6" s="161">
        <v>200</v>
      </c>
      <c r="M6" s="160">
        <v>71</v>
      </c>
    </row>
    <row r="7" spans="1:13" ht="19.5" customHeight="1">
      <c r="A7" s="247">
        <v>18</v>
      </c>
      <c r="B7" s="990">
        <v>2983</v>
      </c>
      <c r="C7" s="990">
        <v>3081</v>
      </c>
      <c r="D7" s="990">
        <v>420</v>
      </c>
      <c r="E7" s="990">
        <v>2193</v>
      </c>
      <c r="F7" s="990">
        <v>2251</v>
      </c>
      <c r="G7" s="990">
        <v>187</v>
      </c>
      <c r="H7" s="161">
        <v>589</v>
      </c>
      <c r="I7" s="161">
        <v>598</v>
      </c>
      <c r="J7" s="161">
        <v>193</v>
      </c>
      <c r="K7" s="161">
        <v>201</v>
      </c>
      <c r="L7" s="161">
        <v>232</v>
      </c>
      <c r="M7" s="160">
        <v>40</v>
      </c>
    </row>
    <row r="8" spans="1:13" ht="19.5" customHeight="1">
      <c r="A8" s="247">
        <v>19</v>
      </c>
      <c r="B8" s="990">
        <v>3065</v>
      </c>
      <c r="C8" s="990">
        <v>3065</v>
      </c>
      <c r="D8" s="990">
        <v>420</v>
      </c>
      <c r="E8" s="990">
        <v>2407</v>
      </c>
      <c r="F8" s="990">
        <v>2421</v>
      </c>
      <c r="G8" s="990">
        <v>173</v>
      </c>
      <c r="H8" s="161">
        <v>461</v>
      </c>
      <c r="I8" s="161">
        <v>468</v>
      </c>
      <c r="J8" s="161">
        <v>186</v>
      </c>
      <c r="K8" s="161">
        <v>197</v>
      </c>
      <c r="L8" s="161">
        <v>176</v>
      </c>
      <c r="M8" s="160">
        <v>61</v>
      </c>
    </row>
    <row r="9" spans="1:13" ht="19.5" customHeight="1">
      <c r="A9" s="247">
        <v>20</v>
      </c>
      <c r="B9" s="990">
        <v>2811</v>
      </c>
      <c r="C9" s="990">
        <v>2856</v>
      </c>
      <c r="D9" s="990">
        <v>375</v>
      </c>
      <c r="E9" s="990">
        <v>2195</v>
      </c>
      <c r="F9" s="990">
        <v>2219</v>
      </c>
      <c r="G9" s="990">
        <v>149</v>
      </c>
      <c r="H9" s="161">
        <v>423</v>
      </c>
      <c r="I9" s="161">
        <v>442</v>
      </c>
      <c r="J9" s="161">
        <v>167</v>
      </c>
      <c r="K9" s="161">
        <v>193</v>
      </c>
      <c r="L9" s="161">
        <v>195</v>
      </c>
      <c r="M9" s="160">
        <v>59</v>
      </c>
    </row>
    <row r="10" spans="1:13" ht="19.5" customHeight="1">
      <c r="A10" s="247">
        <v>21</v>
      </c>
      <c r="B10" s="990">
        <v>3167</v>
      </c>
      <c r="C10" s="990">
        <v>3166</v>
      </c>
      <c r="D10" s="990">
        <v>376</v>
      </c>
      <c r="E10" s="990">
        <v>2498</v>
      </c>
      <c r="F10" s="990">
        <v>2515</v>
      </c>
      <c r="G10" s="990">
        <v>132</v>
      </c>
      <c r="H10" s="161">
        <v>518</v>
      </c>
      <c r="I10" s="161">
        <v>492</v>
      </c>
      <c r="J10" s="161">
        <v>193</v>
      </c>
      <c r="K10" s="161">
        <v>151</v>
      </c>
      <c r="L10" s="161">
        <v>159</v>
      </c>
      <c r="M10" s="160">
        <v>51</v>
      </c>
    </row>
    <row r="11" spans="1:13" ht="19.5" customHeight="1">
      <c r="A11" s="247">
        <v>22</v>
      </c>
      <c r="B11" s="990">
        <v>3121</v>
      </c>
      <c r="C11" s="990">
        <v>3070</v>
      </c>
      <c r="D11" s="990">
        <v>427</v>
      </c>
      <c r="E11" s="990">
        <v>2438</v>
      </c>
      <c r="F11" s="990">
        <v>2416</v>
      </c>
      <c r="G11" s="990">
        <v>154</v>
      </c>
      <c r="H11" s="161">
        <v>505</v>
      </c>
      <c r="I11" s="161">
        <v>493</v>
      </c>
      <c r="J11" s="161">
        <v>205</v>
      </c>
      <c r="K11" s="161">
        <v>178</v>
      </c>
      <c r="L11" s="161">
        <v>161</v>
      </c>
      <c r="M11" s="160">
        <v>68</v>
      </c>
    </row>
    <row r="12" spans="1:13" ht="19.5" customHeight="1">
      <c r="A12" s="247">
        <v>23</v>
      </c>
      <c r="B12" s="990">
        <v>3284</v>
      </c>
      <c r="C12" s="990">
        <v>3265</v>
      </c>
      <c r="D12" s="990">
        <v>446</v>
      </c>
      <c r="E12" s="990">
        <v>2630</v>
      </c>
      <c r="F12" s="990">
        <v>2625</v>
      </c>
      <c r="G12" s="990">
        <v>159</v>
      </c>
      <c r="H12" s="161">
        <v>506</v>
      </c>
      <c r="I12" s="161">
        <v>497</v>
      </c>
      <c r="J12" s="161">
        <v>214</v>
      </c>
      <c r="K12" s="161">
        <v>148</v>
      </c>
      <c r="L12" s="161">
        <v>143</v>
      </c>
      <c r="M12" s="160">
        <v>73</v>
      </c>
    </row>
    <row r="13" spans="1:13" ht="19.5" customHeight="1">
      <c r="A13" s="247">
        <v>24</v>
      </c>
      <c r="B13" s="990">
        <v>3540</v>
      </c>
      <c r="C13" s="990">
        <v>3510</v>
      </c>
      <c r="D13" s="990">
        <v>476</v>
      </c>
      <c r="E13" s="990">
        <v>2842</v>
      </c>
      <c r="F13" s="990">
        <v>2821</v>
      </c>
      <c r="G13" s="990">
        <v>180</v>
      </c>
      <c r="H13" s="161">
        <v>540</v>
      </c>
      <c r="I13" s="161">
        <v>503</v>
      </c>
      <c r="J13" s="161">
        <v>251</v>
      </c>
      <c r="K13" s="161">
        <v>158</v>
      </c>
      <c r="L13" s="161">
        <v>186</v>
      </c>
      <c r="M13" s="160">
        <v>45</v>
      </c>
    </row>
    <row r="14" spans="1:13" ht="19.5" customHeight="1">
      <c r="A14" s="247">
        <v>25</v>
      </c>
      <c r="B14" s="990">
        <v>3623</v>
      </c>
      <c r="C14" s="990">
        <v>3568</v>
      </c>
      <c r="D14" s="990">
        <v>531</v>
      </c>
      <c r="E14" s="990">
        <v>2902</v>
      </c>
      <c r="F14" s="990">
        <v>2828</v>
      </c>
      <c r="G14" s="990">
        <v>254</v>
      </c>
      <c r="H14" s="161">
        <v>579</v>
      </c>
      <c r="I14" s="161">
        <v>587</v>
      </c>
      <c r="J14" s="161">
        <v>243</v>
      </c>
      <c r="K14" s="161">
        <v>142</v>
      </c>
      <c r="L14" s="161">
        <v>153</v>
      </c>
      <c r="M14" s="160">
        <v>34</v>
      </c>
    </row>
    <row r="15" spans="1:13" ht="19.5" customHeight="1">
      <c r="A15" s="247">
        <v>26</v>
      </c>
      <c r="B15" s="990">
        <v>3471</v>
      </c>
      <c r="C15" s="990">
        <v>3569</v>
      </c>
      <c r="D15" s="990">
        <v>433</v>
      </c>
      <c r="E15" s="990">
        <v>2788</v>
      </c>
      <c r="F15" s="990">
        <v>2886</v>
      </c>
      <c r="G15" s="990">
        <v>156</v>
      </c>
      <c r="H15" s="161">
        <v>540</v>
      </c>
      <c r="I15" s="161">
        <v>546</v>
      </c>
      <c r="J15" s="161">
        <v>237</v>
      </c>
      <c r="K15" s="161">
        <v>143</v>
      </c>
      <c r="L15" s="161">
        <v>137</v>
      </c>
      <c r="M15" s="160">
        <v>40</v>
      </c>
    </row>
    <row r="16" spans="1:13" ht="19.5" customHeight="1">
      <c r="A16" s="247">
        <v>27</v>
      </c>
      <c r="B16" s="990">
        <v>4038</v>
      </c>
      <c r="C16" s="990">
        <v>4087</v>
      </c>
      <c r="D16" s="990">
        <v>384</v>
      </c>
      <c r="E16" s="990">
        <v>3265</v>
      </c>
      <c r="F16" s="990">
        <v>3274</v>
      </c>
      <c r="G16" s="990">
        <v>147</v>
      </c>
      <c r="H16" s="161">
        <v>591</v>
      </c>
      <c r="I16" s="161">
        <v>626</v>
      </c>
      <c r="J16" s="161">
        <v>202</v>
      </c>
      <c r="K16" s="161">
        <v>182</v>
      </c>
      <c r="L16" s="161">
        <v>187</v>
      </c>
      <c r="M16" s="160">
        <v>35</v>
      </c>
    </row>
    <row r="17" spans="1:13" ht="19.5" customHeight="1">
      <c r="A17" s="247">
        <v>28</v>
      </c>
      <c r="B17" s="990">
        <v>3893</v>
      </c>
      <c r="C17" s="990">
        <v>3879</v>
      </c>
      <c r="D17" s="990">
        <v>398</v>
      </c>
      <c r="E17" s="990">
        <v>3179</v>
      </c>
      <c r="F17" s="990">
        <v>3206</v>
      </c>
      <c r="G17" s="990">
        <v>120</v>
      </c>
      <c r="H17" s="161">
        <v>540</v>
      </c>
      <c r="I17" s="161">
        <v>502</v>
      </c>
      <c r="J17" s="161">
        <v>240</v>
      </c>
      <c r="K17" s="161">
        <v>174</v>
      </c>
      <c r="L17" s="161">
        <v>171</v>
      </c>
      <c r="M17" s="160">
        <v>38</v>
      </c>
    </row>
    <row r="18" spans="1:13" ht="19.5" customHeight="1">
      <c r="A18" s="247">
        <v>29</v>
      </c>
      <c r="B18" s="990">
        <v>4017</v>
      </c>
      <c r="C18" s="990">
        <v>3939</v>
      </c>
      <c r="D18" s="990">
        <v>476</v>
      </c>
      <c r="E18" s="990">
        <v>3206</v>
      </c>
      <c r="F18" s="990">
        <v>3158</v>
      </c>
      <c r="G18" s="990">
        <v>168</v>
      </c>
      <c r="H18" s="161">
        <v>620</v>
      </c>
      <c r="I18" s="161">
        <v>588</v>
      </c>
      <c r="J18" s="161">
        <v>272</v>
      </c>
      <c r="K18" s="161">
        <v>191</v>
      </c>
      <c r="L18" s="161">
        <v>193</v>
      </c>
      <c r="M18" s="160">
        <v>36</v>
      </c>
    </row>
    <row r="19" spans="1:13" ht="19.5" customHeight="1">
      <c r="A19" s="247">
        <v>30</v>
      </c>
      <c r="B19" s="990">
        <v>3992</v>
      </c>
      <c r="C19" s="990">
        <v>3915</v>
      </c>
      <c r="D19" s="990">
        <v>553</v>
      </c>
      <c r="E19" s="990">
        <v>3208</v>
      </c>
      <c r="F19" s="990">
        <v>3175</v>
      </c>
      <c r="G19" s="990">
        <v>201</v>
      </c>
      <c r="H19" s="161">
        <v>619</v>
      </c>
      <c r="I19" s="161">
        <v>578</v>
      </c>
      <c r="J19" s="161">
        <v>313</v>
      </c>
      <c r="K19" s="161">
        <v>165</v>
      </c>
      <c r="L19" s="161">
        <v>162</v>
      </c>
      <c r="M19" s="160">
        <v>39</v>
      </c>
    </row>
    <row r="20" spans="1:13" ht="19.5" customHeight="1">
      <c r="A20" s="595" t="s">
        <v>79</v>
      </c>
      <c r="B20" s="990">
        <v>4466</v>
      </c>
      <c r="C20" s="990">
        <v>4494</v>
      </c>
      <c r="D20" s="990">
        <v>525</v>
      </c>
      <c r="E20" s="990">
        <v>3723</v>
      </c>
      <c r="F20" s="990">
        <v>3729</v>
      </c>
      <c r="G20" s="990">
        <v>195</v>
      </c>
      <c r="H20" s="161">
        <v>546</v>
      </c>
      <c r="I20" s="161">
        <v>585</v>
      </c>
      <c r="J20" s="161">
        <v>274</v>
      </c>
      <c r="K20" s="161">
        <v>197</v>
      </c>
      <c r="L20" s="161">
        <v>180</v>
      </c>
      <c r="M20" s="160">
        <v>56</v>
      </c>
    </row>
    <row r="21" spans="1:13" ht="19.5" customHeight="1">
      <c r="A21" s="595">
        <v>2</v>
      </c>
      <c r="B21" s="990">
        <v>4688</v>
      </c>
      <c r="C21" s="990">
        <v>4665</v>
      </c>
      <c r="D21" s="990">
        <v>548</v>
      </c>
      <c r="E21" s="990">
        <v>3962</v>
      </c>
      <c r="F21" s="990">
        <v>3986</v>
      </c>
      <c r="G21" s="990">
        <v>171</v>
      </c>
      <c r="H21" s="161">
        <v>566</v>
      </c>
      <c r="I21" s="161">
        <v>510</v>
      </c>
      <c r="J21" s="161">
        <v>330</v>
      </c>
      <c r="K21" s="161">
        <v>160</v>
      </c>
      <c r="L21" s="161">
        <v>169</v>
      </c>
      <c r="M21" s="160">
        <v>47</v>
      </c>
    </row>
    <row r="22" spans="1:13" ht="19.5" customHeight="1">
      <c r="A22" s="595">
        <v>3</v>
      </c>
      <c r="B22" s="1007">
        <v>5057</v>
      </c>
      <c r="C22" s="1007">
        <v>5016</v>
      </c>
      <c r="D22" s="1007">
        <v>589</v>
      </c>
      <c r="E22" s="1007">
        <v>4271</v>
      </c>
      <c r="F22" s="1007">
        <v>4213</v>
      </c>
      <c r="G22" s="1007">
        <v>229</v>
      </c>
      <c r="H22" s="1008">
        <v>554</v>
      </c>
      <c r="I22" s="1008">
        <v>588</v>
      </c>
      <c r="J22" s="1008">
        <v>296</v>
      </c>
      <c r="K22" s="1008">
        <v>232</v>
      </c>
      <c r="L22" s="1008">
        <v>215</v>
      </c>
      <c r="M22" s="1009">
        <v>64</v>
      </c>
    </row>
    <row r="23" spans="1:13" ht="19.5" customHeight="1">
      <c r="A23" s="595">
        <v>4</v>
      </c>
      <c r="B23" s="1007">
        <v>4368</v>
      </c>
      <c r="C23" s="1007">
        <v>4462</v>
      </c>
      <c r="D23" s="1007">
        <v>495</v>
      </c>
      <c r="E23" s="1007">
        <v>3721</v>
      </c>
      <c r="F23" s="1007">
        <v>3769</v>
      </c>
      <c r="G23" s="1007">
        <v>181</v>
      </c>
      <c r="H23" s="1008">
        <v>480</v>
      </c>
      <c r="I23" s="1008">
        <v>494</v>
      </c>
      <c r="J23" s="1008">
        <v>282</v>
      </c>
      <c r="K23" s="1008">
        <v>167</v>
      </c>
      <c r="L23" s="1008">
        <v>199</v>
      </c>
      <c r="M23" s="1009">
        <v>32</v>
      </c>
    </row>
    <row r="24" spans="1:13" s="171" customFormat="1" ht="19.5" customHeight="1">
      <c r="A24" s="1001">
        <v>5</v>
      </c>
      <c r="B24" s="991">
        <v>4573</v>
      </c>
      <c r="C24" s="991">
        <v>4525</v>
      </c>
      <c r="D24" s="991">
        <v>543</v>
      </c>
      <c r="E24" s="991">
        <v>3880</v>
      </c>
      <c r="F24" s="991">
        <v>3864</v>
      </c>
      <c r="G24" s="991">
        <v>197</v>
      </c>
      <c r="H24" s="1010">
        <v>513</v>
      </c>
      <c r="I24" s="1010">
        <v>495</v>
      </c>
      <c r="J24" s="1010">
        <v>300</v>
      </c>
      <c r="K24" s="1010">
        <v>180</v>
      </c>
      <c r="L24" s="1010">
        <v>166</v>
      </c>
      <c r="M24" s="1011">
        <v>46</v>
      </c>
    </row>
    <row r="25" spans="1:13" s="171" customFormat="1" ht="19.5" customHeight="1" thickBot="1">
      <c r="A25" s="1004"/>
      <c r="B25" s="992"/>
      <c r="C25" s="992"/>
      <c r="D25" s="992"/>
      <c r="E25" s="992"/>
      <c r="F25" s="992"/>
      <c r="G25" s="992"/>
      <c r="H25" s="1012"/>
      <c r="I25" s="1012"/>
      <c r="J25" s="1012"/>
      <c r="K25" s="1012"/>
      <c r="L25" s="1012"/>
      <c r="M25" s="1013"/>
    </row>
    <row r="26" spans="1:13" ht="19.5" customHeight="1">
      <c r="A26" s="11" t="s">
        <v>1970</v>
      </c>
    </row>
    <row r="27" spans="1:13" ht="19.5" customHeight="1">
      <c r="A27" s="11" t="s">
        <v>1986</v>
      </c>
    </row>
    <row r="28" spans="1:13" ht="19.5" customHeight="1">
      <c r="A28" s="11" t="s">
        <v>1987</v>
      </c>
    </row>
  </sheetData>
  <mergeCells count="5">
    <mergeCell ref="A2:A3"/>
    <mergeCell ref="B2:D2"/>
    <mergeCell ref="E2:G2"/>
    <mergeCell ref="H2:J2"/>
    <mergeCell ref="K2:M2"/>
  </mergeCells>
  <phoneticPr fontId="4"/>
  <printOptions horizontalCentered="1"/>
  <pageMargins left="0.78740157480314965" right="0.78740157480314965" top="0.98425196850393704" bottom="0.98425196850393704" header="0.31496062992125984" footer="0.31496062992125984"/>
  <pageSetup paperSize="9"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DCE0B-D450-4C08-86B8-88627E460740}">
  <sheetPr codeName="Sheet141"/>
  <dimension ref="A1:N16"/>
  <sheetViews>
    <sheetView workbookViewId="0"/>
  </sheetViews>
  <sheetFormatPr defaultRowHeight="13.2"/>
  <cols>
    <col min="1" max="1" width="6.3984375" style="1882" customWidth="1"/>
    <col min="2" max="2" width="6.296875" style="1882" customWidth="1"/>
    <col min="3" max="5" width="7.296875" style="1882" customWidth="1"/>
    <col min="6" max="6" width="7.3984375" style="1882" customWidth="1"/>
    <col min="7" max="10" width="7.09765625" style="1882" customWidth="1"/>
    <col min="11" max="12" width="8.3984375" style="1882" customWidth="1"/>
    <col min="13" max="13" width="6.5" style="1882" customWidth="1"/>
    <col min="14" max="14" width="9.19921875" style="1882" bestFit="1" customWidth="1"/>
    <col min="15" max="257" width="8.796875" style="1882"/>
    <col min="258" max="258" width="6.3984375" style="1882" customWidth="1"/>
    <col min="259" max="259" width="6.296875" style="1882" customWidth="1"/>
    <col min="260" max="262" width="7.296875" style="1882" customWidth="1"/>
    <col min="263" max="263" width="7.3984375" style="1882" customWidth="1"/>
    <col min="264" max="267" width="7.09765625" style="1882" customWidth="1"/>
    <col min="268" max="268" width="8.3984375" style="1882" customWidth="1"/>
    <col min="269" max="269" width="6.5" style="1882" customWidth="1"/>
    <col min="270" max="270" width="8.19921875" style="1882" customWidth="1"/>
    <col min="271" max="513" width="8.796875" style="1882"/>
    <col min="514" max="514" width="6.3984375" style="1882" customWidth="1"/>
    <col min="515" max="515" width="6.296875" style="1882" customWidth="1"/>
    <col min="516" max="518" width="7.296875" style="1882" customWidth="1"/>
    <col min="519" max="519" width="7.3984375" style="1882" customWidth="1"/>
    <col min="520" max="523" width="7.09765625" style="1882" customWidth="1"/>
    <col min="524" max="524" width="8.3984375" style="1882" customWidth="1"/>
    <col min="525" max="525" width="6.5" style="1882" customWidth="1"/>
    <col min="526" max="526" width="8.19921875" style="1882" customWidth="1"/>
    <col min="527" max="769" width="8.796875" style="1882"/>
    <col min="770" max="770" width="6.3984375" style="1882" customWidth="1"/>
    <col min="771" max="771" width="6.296875" style="1882" customWidth="1"/>
    <col min="772" max="774" width="7.296875" style="1882" customWidth="1"/>
    <col min="775" max="775" width="7.3984375" style="1882" customWidth="1"/>
    <col min="776" max="779" width="7.09765625" style="1882" customWidth="1"/>
    <col min="780" max="780" width="8.3984375" style="1882" customWidth="1"/>
    <col min="781" max="781" width="6.5" style="1882" customWidth="1"/>
    <col min="782" max="782" width="8.19921875" style="1882" customWidth="1"/>
    <col min="783" max="1025" width="8.796875" style="1882"/>
    <col min="1026" max="1026" width="6.3984375" style="1882" customWidth="1"/>
    <col min="1027" max="1027" width="6.296875" style="1882" customWidth="1"/>
    <col min="1028" max="1030" width="7.296875" style="1882" customWidth="1"/>
    <col min="1031" max="1031" width="7.3984375" style="1882" customWidth="1"/>
    <col min="1032" max="1035" width="7.09765625" style="1882" customWidth="1"/>
    <col min="1036" max="1036" width="8.3984375" style="1882" customWidth="1"/>
    <col min="1037" max="1037" width="6.5" style="1882" customWidth="1"/>
    <col min="1038" max="1038" width="8.19921875" style="1882" customWidth="1"/>
    <col min="1039" max="1281" width="8.796875" style="1882"/>
    <col min="1282" max="1282" width="6.3984375" style="1882" customWidth="1"/>
    <col min="1283" max="1283" width="6.296875" style="1882" customWidth="1"/>
    <col min="1284" max="1286" width="7.296875" style="1882" customWidth="1"/>
    <col min="1287" max="1287" width="7.3984375" style="1882" customWidth="1"/>
    <col min="1288" max="1291" width="7.09765625" style="1882" customWidth="1"/>
    <col min="1292" max="1292" width="8.3984375" style="1882" customWidth="1"/>
    <col min="1293" max="1293" width="6.5" style="1882" customWidth="1"/>
    <col min="1294" max="1294" width="8.19921875" style="1882" customWidth="1"/>
    <col min="1295" max="1537" width="8.796875" style="1882"/>
    <col min="1538" max="1538" width="6.3984375" style="1882" customWidth="1"/>
    <col min="1539" max="1539" width="6.296875" style="1882" customWidth="1"/>
    <col min="1540" max="1542" width="7.296875" style="1882" customWidth="1"/>
    <col min="1543" max="1543" width="7.3984375" style="1882" customWidth="1"/>
    <col min="1544" max="1547" width="7.09765625" style="1882" customWidth="1"/>
    <col min="1548" max="1548" width="8.3984375" style="1882" customWidth="1"/>
    <col min="1549" max="1549" width="6.5" style="1882" customWidth="1"/>
    <col min="1550" max="1550" width="8.19921875" style="1882" customWidth="1"/>
    <col min="1551" max="1793" width="8.796875" style="1882"/>
    <col min="1794" max="1794" width="6.3984375" style="1882" customWidth="1"/>
    <col min="1795" max="1795" width="6.296875" style="1882" customWidth="1"/>
    <col min="1796" max="1798" width="7.296875" style="1882" customWidth="1"/>
    <col min="1799" max="1799" width="7.3984375" style="1882" customWidth="1"/>
    <col min="1800" max="1803" width="7.09765625" style="1882" customWidth="1"/>
    <col min="1804" max="1804" width="8.3984375" style="1882" customWidth="1"/>
    <col min="1805" max="1805" width="6.5" style="1882" customWidth="1"/>
    <col min="1806" max="1806" width="8.19921875" style="1882" customWidth="1"/>
    <col min="1807" max="2049" width="8.796875" style="1882"/>
    <col min="2050" max="2050" width="6.3984375" style="1882" customWidth="1"/>
    <col min="2051" max="2051" width="6.296875" style="1882" customWidth="1"/>
    <col min="2052" max="2054" width="7.296875" style="1882" customWidth="1"/>
    <col min="2055" max="2055" width="7.3984375" style="1882" customWidth="1"/>
    <col min="2056" max="2059" width="7.09765625" style="1882" customWidth="1"/>
    <col min="2060" max="2060" width="8.3984375" style="1882" customWidth="1"/>
    <col min="2061" max="2061" width="6.5" style="1882" customWidth="1"/>
    <col min="2062" max="2062" width="8.19921875" style="1882" customWidth="1"/>
    <col min="2063" max="2305" width="8.796875" style="1882"/>
    <col min="2306" max="2306" width="6.3984375" style="1882" customWidth="1"/>
    <col min="2307" max="2307" width="6.296875" style="1882" customWidth="1"/>
    <col min="2308" max="2310" width="7.296875" style="1882" customWidth="1"/>
    <col min="2311" max="2311" width="7.3984375" style="1882" customWidth="1"/>
    <col min="2312" max="2315" width="7.09765625" style="1882" customWidth="1"/>
    <col min="2316" max="2316" width="8.3984375" style="1882" customWidth="1"/>
    <col min="2317" max="2317" width="6.5" style="1882" customWidth="1"/>
    <col min="2318" max="2318" width="8.19921875" style="1882" customWidth="1"/>
    <col min="2319" max="2561" width="8.796875" style="1882"/>
    <col min="2562" max="2562" width="6.3984375" style="1882" customWidth="1"/>
    <col min="2563" max="2563" width="6.296875" style="1882" customWidth="1"/>
    <col min="2564" max="2566" width="7.296875" style="1882" customWidth="1"/>
    <col min="2567" max="2567" width="7.3984375" style="1882" customWidth="1"/>
    <col min="2568" max="2571" width="7.09765625" style="1882" customWidth="1"/>
    <col min="2572" max="2572" width="8.3984375" style="1882" customWidth="1"/>
    <col min="2573" max="2573" width="6.5" style="1882" customWidth="1"/>
    <col min="2574" max="2574" width="8.19921875" style="1882" customWidth="1"/>
    <col min="2575" max="2817" width="8.796875" style="1882"/>
    <col min="2818" max="2818" width="6.3984375" style="1882" customWidth="1"/>
    <col min="2819" max="2819" width="6.296875" style="1882" customWidth="1"/>
    <col min="2820" max="2822" width="7.296875" style="1882" customWidth="1"/>
    <col min="2823" max="2823" width="7.3984375" style="1882" customWidth="1"/>
    <col min="2824" max="2827" width="7.09765625" style="1882" customWidth="1"/>
    <col min="2828" max="2828" width="8.3984375" style="1882" customWidth="1"/>
    <col min="2829" max="2829" width="6.5" style="1882" customWidth="1"/>
    <col min="2830" max="2830" width="8.19921875" style="1882" customWidth="1"/>
    <col min="2831" max="3073" width="8.796875" style="1882"/>
    <col min="3074" max="3074" width="6.3984375" style="1882" customWidth="1"/>
    <col min="3075" max="3075" width="6.296875" style="1882" customWidth="1"/>
    <col min="3076" max="3078" width="7.296875" style="1882" customWidth="1"/>
    <col min="3079" max="3079" width="7.3984375" style="1882" customWidth="1"/>
    <col min="3080" max="3083" width="7.09765625" style="1882" customWidth="1"/>
    <col min="3084" max="3084" width="8.3984375" style="1882" customWidth="1"/>
    <col min="3085" max="3085" width="6.5" style="1882" customWidth="1"/>
    <col min="3086" max="3086" width="8.19921875" style="1882" customWidth="1"/>
    <col min="3087" max="3329" width="8.796875" style="1882"/>
    <col min="3330" max="3330" width="6.3984375" style="1882" customWidth="1"/>
    <col min="3331" max="3331" width="6.296875" style="1882" customWidth="1"/>
    <col min="3332" max="3334" width="7.296875" style="1882" customWidth="1"/>
    <col min="3335" max="3335" width="7.3984375" style="1882" customWidth="1"/>
    <col min="3336" max="3339" width="7.09765625" style="1882" customWidth="1"/>
    <col min="3340" max="3340" width="8.3984375" style="1882" customWidth="1"/>
    <col min="3341" max="3341" width="6.5" style="1882" customWidth="1"/>
    <col min="3342" max="3342" width="8.19921875" style="1882" customWidth="1"/>
    <col min="3343" max="3585" width="8.796875" style="1882"/>
    <col min="3586" max="3586" width="6.3984375" style="1882" customWidth="1"/>
    <col min="3587" max="3587" width="6.296875" style="1882" customWidth="1"/>
    <col min="3588" max="3590" width="7.296875" style="1882" customWidth="1"/>
    <col min="3591" max="3591" width="7.3984375" style="1882" customWidth="1"/>
    <col min="3592" max="3595" width="7.09765625" style="1882" customWidth="1"/>
    <col min="3596" max="3596" width="8.3984375" style="1882" customWidth="1"/>
    <col min="3597" max="3597" width="6.5" style="1882" customWidth="1"/>
    <col min="3598" max="3598" width="8.19921875" style="1882" customWidth="1"/>
    <col min="3599" max="3841" width="8.796875" style="1882"/>
    <col min="3842" max="3842" width="6.3984375" style="1882" customWidth="1"/>
    <col min="3843" max="3843" width="6.296875" style="1882" customWidth="1"/>
    <col min="3844" max="3846" width="7.296875" style="1882" customWidth="1"/>
    <col min="3847" max="3847" width="7.3984375" style="1882" customWidth="1"/>
    <col min="3848" max="3851" width="7.09765625" style="1882" customWidth="1"/>
    <col min="3852" max="3852" width="8.3984375" style="1882" customWidth="1"/>
    <col min="3853" max="3853" width="6.5" style="1882" customWidth="1"/>
    <col min="3854" max="3854" width="8.19921875" style="1882" customWidth="1"/>
    <col min="3855" max="4097" width="8.796875" style="1882"/>
    <col min="4098" max="4098" width="6.3984375" style="1882" customWidth="1"/>
    <col min="4099" max="4099" width="6.296875" style="1882" customWidth="1"/>
    <col min="4100" max="4102" width="7.296875" style="1882" customWidth="1"/>
    <col min="4103" max="4103" width="7.3984375" style="1882" customWidth="1"/>
    <col min="4104" max="4107" width="7.09765625" style="1882" customWidth="1"/>
    <col min="4108" max="4108" width="8.3984375" style="1882" customWidth="1"/>
    <col min="4109" max="4109" width="6.5" style="1882" customWidth="1"/>
    <col min="4110" max="4110" width="8.19921875" style="1882" customWidth="1"/>
    <col min="4111" max="4353" width="8.796875" style="1882"/>
    <col min="4354" max="4354" width="6.3984375" style="1882" customWidth="1"/>
    <col min="4355" max="4355" width="6.296875" style="1882" customWidth="1"/>
    <col min="4356" max="4358" width="7.296875" style="1882" customWidth="1"/>
    <col min="4359" max="4359" width="7.3984375" style="1882" customWidth="1"/>
    <col min="4360" max="4363" width="7.09765625" style="1882" customWidth="1"/>
    <col min="4364" max="4364" width="8.3984375" style="1882" customWidth="1"/>
    <col min="4365" max="4365" width="6.5" style="1882" customWidth="1"/>
    <col min="4366" max="4366" width="8.19921875" style="1882" customWidth="1"/>
    <col min="4367" max="4609" width="8.796875" style="1882"/>
    <col min="4610" max="4610" width="6.3984375" style="1882" customWidth="1"/>
    <col min="4611" max="4611" width="6.296875" style="1882" customWidth="1"/>
    <col min="4612" max="4614" width="7.296875" style="1882" customWidth="1"/>
    <col min="4615" max="4615" width="7.3984375" style="1882" customWidth="1"/>
    <col min="4616" max="4619" width="7.09765625" style="1882" customWidth="1"/>
    <col min="4620" max="4620" width="8.3984375" style="1882" customWidth="1"/>
    <col min="4621" max="4621" width="6.5" style="1882" customWidth="1"/>
    <col min="4622" max="4622" width="8.19921875" style="1882" customWidth="1"/>
    <col min="4623" max="4865" width="8.796875" style="1882"/>
    <col min="4866" max="4866" width="6.3984375" style="1882" customWidth="1"/>
    <col min="4867" max="4867" width="6.296875" style="1882" customWidth="1"/>
    <col min="4868" max="4870" width="7.296875" style="1882" customWidth="1"/>
    <col min="4871" max="4871" width="7.3984375" style="1882" customWidth="1"/>
    <col min="4872" max="4875" width="7.09765625" style="1882" customWidth="1"/>
    <col min="4876" max="4876" width="8.3984375" style="1882" customWidth="1"/>
    <col min="4877" max="4877" width="6.5" style="1882" customWidth="1"/>
    <col min="4878" max="4878" width="8.19921875" style="1882" customWidth="1"/>
    <col min="4879" max="5121" width="8.796875" style="1882"/>
    <col min="5122" max="5122" width="6.3984375" style="1882" customWidth="1"/>
    <col min="5123" max="5123" width="6.296875" style="1882" customWidth="1"/>
    <col min="5124" max="5126" width="7.296875" style="1882" customWidth="1"/>
    <col min="5127" max="5127" width="7.3984375" style="1882" customWidth="1"/>
    <col min="5128" max="5131" width="7.09765625" style="1882" customWidth="1"/>
    <col min="5132" max="5132" width="8.3984375" style="1882" customWidth="1"/>
    <col min="5133" max="5133" width="6.5" style="1882" customWidth="1"/>
    <col min="5134" max="5134" width="8.19921875" style="1882" customWidth="1"/>
    <col min="5135" max="5377" width="8.796875" style="1882"/>
    <col min="5378" max="5378" width="6.3984375" style="1882" customWidth="1"/>
    <col min="5379" max="5379" width="6.296875" style="1882" customWidth="1"/>
    <col min="5380" max="5382" width="7.296875" style="1882" customWidth="1"/>
    <col min="5383" max="5383" width="7.3984375" style="1882" customWidth="1"/>
    <col min="5384" max="5387" width="7.09765625" style="1882" customWidth="1"/>
    <col min="5388" max="5388" width="8.3984375" style="1882" customWidth="1"/>
    <col min="5389" max="5389" width="6.5" style="1882" customWidth="1"/>
    <col min="5390" max="5390" width="8.19921875" style="1882" customWidth="1"/>
    <col min="5391" max="5633" width="8.796875" style="1882"/>
    <col min="5634" max="5634" width="6.3984375" style="1882" customWidth="1"/>
    <col min="5635" max="5635" width="6.296875" style="1882" customWidth="1"/>
    <col min="5636" max="5638" width="7.296875" style="1882" customWidth="1"/>
    <col min="5639" max="5639" width="7.3984375" style="1882" customWidth="1"/>
    <col min="5640" max="5643" width="7.09765625" style="1882" customWidth="1"/>
    <col min="5644" max="5644" width="8.3984375" style="1882" customWidth="1"/>
    <col min="5645" max="5645" width="6.5" style="1882" customWidth="1"/>
    <col min="5646" max="5646" width="8.19921875" style="1882" customWidth="1"/>
    <col min="5647" max="5889" width="8.796875" style="1882"/>
    <col min="5890" max="5890" width="6.3984375" style="1882" customWidth="1"/>
    <col min="5891" max="5891" width="6.296875" style="1882" customWidth="1"/>
    <col min="5892" max="5894" width="7.296875" style="1882" customWidth="1"/>
    <col min="5895" max="5895" width="7.3984375" style="1882" customWidth="1"/>
    <col min="5896" max="5899" width="7.09765625" style="1882" customWidth="1"/>
    <col min="5900" max="5900" width="8.3984375" style="1882" customWidth="1"/>
    <col min="5901" max="5901" width="6.5" style="1882" customWidth="1"/>
    <col min="5902" max="5902" width="8.19921875" style="1882" customWidth="1"/>
    <col min="5903" max="6145" width="8.796875" style="1882"/>
    <col min="6146" max="6146" width="6.3984375" style="1882" customWidth="1"/>
    <col min="6147" max="6147" width="6.296875" style="1882" customWidth="1"/>
    <col min="6148" max="6150" width="7.296875" style="1882" customWidth="1"/>
    <col min="6151" max="6151" width="7.3984375" style="1882" customWidth="1"/>
    <col min="6152" max="6155" width="7.09765625" style="1882" customWidth="1"/>
    <col min="6156" max="6156" width="8.3984375" style="1882" customWidth="1"/>
    <col min="6157" max="6157" width="6.5" style="1882" customWidth="1"/>
    <col min="6158" max="6158" width="8.19921875" style="1882" customWidth="1"/>
    <col min="6159" max="6401" width="8.796875" style="1882"/>
    <col min="6402" max="6402" width="6.3984375" style="1882" customWidth="1"/>
    <col min="6403" max="6403" width="6.296875" style="1882" customWidth="1"/>
    <col min="6404" max="6406" width="7.296875" style="1882" customWidth="1"/>
    <col min="6407" max="6407" width="7.3984375" style="1882" customWidth="1"/>
    <col min="6408" max="6411" width="7.09765625" style="1882" customWidth="1"/>
    <col min="6412" max="6412" width="8.3984375" style="1882" customWidth="1"/>
    <col min="6413" max="6413" width="6.5" style="1882" customWidth="1"/>
    <col min="6414" max="6414" width="8.19921875" style="1882" customWidth="1"/>
    <col min="6415" max="6657" width="8.796875" style="1882"/>
    <col min="6658" max="6658" width="6.3984375" style="1882" customWidth="1"/>
    <col min="6659" max="6659" width="6.296875" style="1882" customWidth="1"/>
    <col min="6660" max="6662" width="7.296875" style="1882" customWidth="1"/>
    <col min="6663" max="6663" width="7.3984375" style="1882" customWidth="1"/>
    <col min="6664" max="6667" width="7.09765625" style="1882" customWidth="1"/>
    <col min="6668" max="6668" width="8.3984375" style="1882" customWidth="1"/>
    <col min="6669" max="6669" width="6.5" style="1882" customWidth="1"/>
    <col min="6670" max="6670" width="8.19921875" style="1882" customWidth="1"/>
    <col min="6671" max="6913" width="8.796875" style="1882"/>
    <col min="6914" max="6914" width="6.3984375" style="1882" customWidth="1"/>
    <col min="6915" max="6915" width="6.296875" style="1882" customWidth="1"/>
    <col min="6916" max="6918" width="7.296875" style="1882" customWidth="1"/>
    <col min="6919" max="6919" width="7.3984375" style="1882" customWidth="1"/>
    <col min="6920" max="6923" width="7.09765625" style="1882" customWidth="1"/>
    <col min="6924" max="6924" width="8.3984375" style="1882" customWidth="1"/>
    <col min="6925" max="6925" width="6.5" style="1882" customWidth="1"/>
    <col min="6926" max="6926" width="8.19921875" style="1882" customWidth="1"/>
    <col min="6927" max="7169" width="8.796875" style="1882"/>
    <col min="7170" max="7170" width="6.3984375" style="1882" customWidth="1"/>
    <col min="7171" max="7171" width="6.296875" style="1882" customWidth="1"/>
    <col min="7172" max="7174" width="7.296875" style="1882" customWidth="1"/>
    <col min="7175" max="7175" width="7.3984375" style="1882" customWidth="1"/>
    <col min="7176" max="7179" width="7.09765625" style="1882" customWidth="1"/>
    <col min="7180" max="7180" width="8.3984375" style="1882" customWidth="1"/>
    <col min="7181" max="7181" width="6.5" style="1882" customWidth="1"/>
    <col min="7182" max="7182" width="8.19921875" style="1882" customWidth="1"/>
    <col min="7183" max="7425" width="8.796875" style="1882"/>
    <col min="7426" max="7426" width="6.3984375" style="1882" customWidth="1"/>
    <col min="7427" max="7427" width="6.296875" style="1882" customWidth="1"/>
    <col min="7428" max="7430" width="7.296875" style="1882" customWidth="1"/>
    <col min="7431" max="7431" width="7.3984375" style="1882" customWidth="1"/>
    <col min="7432" max="7435" width="7.09765625" style="1882" customWidth="1"/>
    <col min="7436" max="7436" width="8.3984375" style="1882" customWidth="1"/>
    <col min="7437" max="7437" width="6.5" style="1882" customWidth="1"/>
    <col min="7438" max="7438" width="8.19921875" style="1882" customWidth="1"/>
    <col min="7439" max="7681" width="8.796875" style="1882"/>
    <col min="7682" max="7682" width="6.3984375" style="1882" customWidth="1"/>
    <col min="7683" max="7683" width="6.296875" style="1882" customWidth="1"/>
    <col min="7684" max="7686" width="7.296875" style="1882" customWidth="1"/>
    <col min="7687" max="7687" width="7.3984375" style="1882" customWidth="1"/>
    <col min="7688" max="7691" width="7.09765625" style="1882" customWidth="1"/>
    <col min="7692" max="7692" width="8.3984375" style="1882" customWidth="1"/>
    <col min="7693" max="7693" width="6.5" style="1882" customWidth="1"/>
    <col min="7694" max="7694" width="8.19921875" style="1882" customWidth="1"/>
    <col min="7695" max="7937" width="8.796875" style="1882"/>
    <col min="7938" max="7938" width="6.3984375" style="1882" customWidth="1"/>
    <col min="7939" max="7939" width="6.296875" style="1882" customWidth="1"/>
    <col min="7940" max="7942" width="7.296875" style="1882" customWidth="1"/>
    <col min="7943" max="7943" width="7.3984375" style="1882" customWidth="1"/>
    <col min="7944" max="7947" width="7.09765625" style="1882" customWidth="1"/>
    <col min="7948" max="7948" width="8.3984375" style="1882" customWidth="1"/>
    <col min="7949" max="7949" width="6.5" style="1882" customWidth="1"/>
    <col min="7950" max="7950" width="8.19921875" style="1882" customWidth="1"/>
    <col min="7951" max="8193" width="8.796875" style="1882"/>
    <col min="8194" max="8194" width="6.3984375" style="1882" customWidth="1"/>
    <col min="8195" max="8195" width="6.296875" style="1882" customWidth="1"/>
    <col min="8196" max="8198" width="7.296875" style="1882" customWidth="1"/>
    <col min="8199" max="8199" width="7.3984375" style="1882" customWidth="1"/>
    <col min="8200" max="8203" width="7.09765625" style="1882" customWidth="1"/>
    <col min="8204" max="8204" width="8.3984375" style="1882" customWidth="1"/>
    <col min="8205" max="8205" width="6.5" style="1882" customWidth="1"/>
    <col min="8206" max="8206" width="8.19921875" style="1882" customWidth="1"/>
    <col min="8207" max="8449" width="8.796875" style="1882"/>
    <col min="8450" max="8450" width="6.3984375" style="1882" customWidth="1"/>
    <col min="8451" max="8451" width="6.296875" style="1882" customWidth="1"/>
    <col min="8452" max="8454" width="7.296875" style="1882" customWidth="1"/>
    <col min="8455" max="8455" width="7.3984375" style="1882" customWidth="1"/>
    <col min="8456" max="8459" width="7.09765625" style="1882" customWidth="1"/>
    <col min="8460" max="8460" width="8.3984375" style="1882" customWidth="1"/>
    <col min="8461" max="8461" width="6.5" style="1882" customWidth="1"/>
    <col min="8462" max="8462" width="8.19921875" style="1882" customWidth="1"/>
    <col min="8463" max="8705" width="8.796875" style="1882"/>
    <col min="8706" max="8706" width="6.3984375" style="1882" customWidth="1"/>
    <col min="8707" max="8707" width="6.296875" style="1882" customWidth="1"/>
    <col min="8708" max="8710" width="7.296875" style="1882" customWidth="1"/>
    <col min="8711" max="8711" width="7.3984375" style="1882" customWidth="1"/>
    <col min="8712" max="8715" width="7.09765625" style="1882" customWidth="1"/>
    <col min="8716" max="8716" width="8.3984375" style="1882" customWidth="1"/>
    <col min="8717" max="8717" width="6.5" style="1882" customWidth="1"/>
    <col min="8718" max="8718" width="8.19921875" style="1882" customWidth="1"/>
    <col min="8719" max="8961" width="8.796875" style="1882"/>
    <col min="8962" max="8962" width="6.3984375" style="1882" customWidth="1"/>
    <col min="8963" max="8963" width="6.296875" style="1882" customWidth="1"/>
    <col min="8964" max="8966" width="7.296875" style="1882" customWidth="1"/>
    <col min="8967" max="8967" width="7.3984375" style="1882" customWidth="1"/>
    <col min="8968" max="8971" width="7.09765625" style="1882" customWidth="1"/>
    <col min="8972" max="8972" width="8.3984375" style="1882" customWidth="1"/>
    <col min="8973" max="8973" width="6.5" style="1882" customWidth="1"/>
    <col min="8974" max="8974" width="8.19921875" style="1882" customWidth="1"/>
    <col min="8975" max="9217" width="8.796875" style="1882"/>
    <col min="9218" max="9218" width="6.3984375" style="1882" customWidth="1"/>
    <col min="9219" max="9219" width="6.296875" style="1882" customWidth="1"/>
    <col min="9220" max="9222" width="7.296875" style="1882" customWidth="1"/>
    <col min="9223" max="9223" width="7.3984375" style="1882" customWidth="1"/>
    <col min="9224" max="9227" width="7.09765625" style="1882" customWidth="1"/>
    <col min="9228" max="9228" width="8.3984375" style="1882" customWidth="1"/>
    <col min="9229" max="9229" width="6.5" style="1882" customWidth="1"/>
    <col min="9230" max="9230" width="8.19921875" style="1882" customWidth="1"/>
    <col min="9231" max="9473" width="8.796875" style="1882"/>
    <col min="9474" max="9474" width="6.3984375" style="1882" customWidth="1"/>
    <col min="9475" max="9475" width="6.296875" style="1882" customWidth="1"/>
    <col min="9476" max="9478" width="7.296875" style="1882" customWidth="1"/>
    <col min="9479" max="9479" width="7.3984375" style="1882" customWidth="1"/>
    <col min="9480" max="9483" width="7.09765625" style="1882" customWidth="1"/>
    <col min="9484" max="9484" width="8.3984375" style="1882" customWidth="1"/>
    <col min="9485" max="9485" width="6.5" style="1882" customWidth="1"/>
    <col min="9486" max="9486" width="8.19921875" style="1882" customWidth="1"/>
    <col min="9487" max="9729" width="8.796875" style="1882"/>
    <col min="9730" max="9730" width="6.3984375" style="1882" customWidth="1"/>
    <col min="9731" max="9731" width="6.296875" style="1882" customWidth="1"/>
    <col min="9732" max="9734" width="7.296875" style="1882" customWidth="1"/>
    <col min="9735" max="9735" width="7.3984375" style="1882" customWidth="1"/>
    <col min="9736" max="9739" width="7.09765625" style="1882" customWidth="1"/>
    <col min="9740" max="9740" width="8.3984375" style="1882" customWidth="1"/>
    <col min="9741" max="9741" width="6.5" style="1882" customWidth="1"/>
    <col min="9742" max="9742" width="8.19921875" style="1882" customWidth="1"/>
    <col min="9743" max="9985" width="8.796875" style="1882"/>
    <col min="9986" max="9986" width="6.3984375" style="1882" customWidth="1"/>
    <col min="9987" max="9987" width="6.296875" style="1882" customWidth="1"/>
    <col min="9988" max="9990" width="7.296875" style="1882" customWidth="1"/>
    <col min="9991" max="9991" width="7.3984375" style="1882" customWidth="1"/>
    <col min="9992" max="9995" width="7.09765625" style="1882" customWidth="1"/>
    <col min="9996" max="9996" width="8.3984375" style="1882" customWidth="1"/>
    <col min="9997" max="9997" width="6.5" style="1882" customWidth="1"/>
    <col min="9998" max="9998" width="8.19921875" style="1882" customWidth="1"/>
    <col min="9999" max="10241" width="8.796875" style="1882"/>
    <col min="10242" max="10242" width="6.3984375" style="1882" customWidth="1"/>
    <col min="10243" max="10243" width="6.296875" style="1882" customWidth="1"/>
    <col min="10244" max="10246" width="7.296875" style="1882" customWidth="1"/>
    <col min="10247" max="10247" width="7.3984375" style="1882" customWidth="1"/>
    <col min="10248" max="10251" width="7.09765625" style="1882" customWidth="1"/>
    <col min="10252" max="10252" width="8.3984375" style="1882" customWidth="1"/>
    <col min="10253" max="10253" width="6.5" style="1882" customWidth="1"/>
    <col min="10254" max="10254" width="8.19921875" style="1882" customWidth="1"/>
    <col min="10255" max="10497" width="8.796875" style="1882"/>
    <col min="10498" max="10498" width="6.3984375" style="1882" customWidth="1"/>
    <col min="10499" max="10499" width="6.296875" style="1882" customWidth="1"/>
    <col min="10500" max="10502" width="7.296875" style="1882" customWidth="1"/>
    <col min="10503" max="10503" width="7.3984375" style="1882" customWidth="1"/>
    <col min="10504" max="10507" width="7.09765625" style="1882" customWidth="1"/>
    <col min="10508" max="10508" width="8.3984375" style="1882" customWidth="1"/>
    <col min="10509" max="10509" width="6.5" style="1882" customWidth="1"/>
    <col min="10510" max="10510" width="8.19921875" style="1882" customWidth="1"/>
    <col min="10511" max="10753" width="8.796875" style="1882"/>
    <col min="10754" max="10754" width="6.3984375" style="1882" customWidth="1"/>
    <col min="10755" max="10755" width="6.296875" style="1882" customWidth="1"/>
    <col min="10756" max="10758" width="7.296875" style="1882" customWidth="1"/>
    <col min="10759" max="10759" width="7.3984375" style="1882" customWidth="1"/>
    <col min="10760" max="10763" width="7.09765625" style="1882" customWidth="1"/>
    <col min="10764" max="10764" width="8.3984375" style="1882" customWidth="1"/>
    <col min="10765" max="10765" width="6.5" style="1882" customWidth="1"/>
    <col min="10766" max="10766" width="8.19921875" style="1882" customWidth="1"/>
    <col min="10767" max="11009" width="8.796875" style="1882"/>
    <col min="11010" max="11010" width="6.3984375" style="1882" customWidth="1"/>
    <col min="11011" max="11011" width="6.296875" style="1882" customWidth="1"/>
    <col min="11012" max="11014" width="7.296875" style="1882" customWidth="1"/>
    <col min="11015" max="11015" width="7.3984375" style="1882" customWidth="1"/>
    <col min="11016" max="11019" width="7.09765625" style="1882" customWidth="1"/>
    <col min="11020" max="11020" width="8.3984375" style="1882" customWidth="1"/>
    <col min="11021" max="11021" width="6.5" style="1882" customWidth="1"/>
    <col min="11022" max="11022" width="8.19921875" style="1882" customWidth="1"/>
    <col min="11023" max="11265" width="8.796875" style="1882"/>
    <col min="11266" max="11266" width="6.3984375" style="1882" customWidth="1"/>
    <col min="11267" max="11267" width="6.296875" style="1882" customWidth="1"/>
    <col min="11268" max="11270" width="7.296875" style="1882" customWidth="1"/>
    <col min="11271" max="11271" width="7.3984375" style="1882" customWidth="1"/>
    <col min="11272" max="11275" width="7.09765625" style="1882" customWidth="1"/>
    <col min="11276" max="11276" width="8.3984375" style="1882" customWidth="1"/>
    <col min="11277" max="11277" width="6.5" style="1882" customWidth="1"/>
    <col min="11278" max="11278" width="8.19921875" style="1882" customWidth="1"/>
    <col min="11279" max="11521" width="8.796875" style="1882"/>
    <col min="11522" max="11522" width="6.3984375" style="1882" customWidth="1"/>
    <col min="11523" max="11523" width="6.296875" style="1882" customWidth="1"/>
    <col min="11524" max="11526" width="7.296875" style="1882" customWidth="1"/>
    <col min="11527" max="11527" width="7.3984375" style="1882" customWidth="1"/>
    <col min="11528" max="11531" width="7.09765625" style="1882" customWidth="1"/>
    <col min="11532" max="11532" width="8.3984375" style="1882" customWidth="1"/>
    <col min="11533" max="11533" width="6.5" style="1882" customWidth="1"/>
    <col min="11534" max="11534" width="8.19921875" style="1882" customWidth="1"/>
    <col min="11535" max="11777" width="8.796875" style="1882"/>
    <col min="11778" max="11778" width="6.3984375" style="1882" customWidth="1"/>
    <col min="11779" max="11779" width="6.296875" style="1882" customWidth="1"/>
    <col min="11780" max="11782" width="7.296875" style="1882" customWidth="1"/>
    <col min="11783" max="11783" width="7.3984375" style="1882" customWidth="1"/>
    <col min="11784" max="11787" width="7.09765625" style="1882" customWidth="1"/>
    <col min="11788" max="11788" width="8.3984375" style="1882" customWidth="1"/>
    <col min="11789" max="11789" width="6.5" style="1882" customWidth="1"/>
    <col min="11790" max="11790" width="8.19921875" style="1882" customWidth="1"/>
    <col min="11791" max="12033" width="8.796875" style="1882"/>
    <col min="12034" max="12034" width="6.3984375" style="1882" customWidth="1"/>
    <col min="12035" max="12035" width="6.296875" style="1882" customWidth="1"/>
    <col min="12036" max="12038" width="7.296875" style="1882" customWidth="1"/>
    <col min="12039" max="12039" width="7.3984375" style="1882" customWidth="1"/>
    <col min="12040" max="12043" width="7.09765625" style="1882" customWidth="1"/>
    <col min="12044" max="12044" width="8.3984375" style="1882" customWidth="1"/>
    <col min="12045" max="12045" width="6.5" style="1882" customWidth="1"/>
    <col min="12046" max="12046" width="8.19921875" style="1882" customWidth="1"/>
    <col min="12047" max="12289" width="8.796875" style="1882"/>
    <col min="12290" max="12290" width="6.3984375" style="1882" customWidth="1"/>
    <col min="12291" max="12291" width="6.296875" style="1882" customWidth="1"/>
    <col min="12292" max="12294" width="7.296875" style="1882" customWidth="1"/>
    <col min="12295" max="12295" width="7.3984375" style="1882" customWidth="1"/>
    <col min="12296" max="12299" width="7.09765625" style="1882" customWidth="1"/>
    <col min="12300" max="12300" width="8.3984375" style="1882" customWidth="1"/>
    <col min="12301" max="12301" width="6.5" style="1882" customWidth="1"/>
    <col min="12302" max="12302" width="8.19921875" style="1882" customWidth="1"/>
    <col min="12303" max="12545" width="8.796875" style="1882"/>
    <col min="12546" max="12546" width="6.3984375" style="1882" customWidth="1"/>
    <col min="12547" max="12547" width="6.296875" style="1882" customWidth="1"/>
    <col min="12548" max="12550" width="7.296875" style="1882" customWidth="1"/>
    <col min="12551" max="12551" width="7.3984375" style="1882" customWidth="1"/>
    <col min="12552" max="12555" width="7.09765625" style="1882" customWidth="1"/>
    <col min="12556" max="12556" width="8.3984375" style="1882" customWidth="1"/>
    <col min="12557" max="12557" width="6.5" style="1882" customWidth="1"/>
    <col min="12558" max="12558" width="8.19921875" style="1882" customWidth="1"/>
    <col min="12559" max="12801" width="8.796875" style="1882"/>
    <col min="12802" max="12802" width="6.3984375" style="1882" customWidth="1"/>
    <col min="12803" max="12803" width="6.296875" style="1882" customWidth="1"/>
    <col min="12804" max="12806" width="7.296875" style="1882" customWidth="1"/>
    <col min="12807" max="12807" width="7.3984375" style="1882" customWidth="1"/>
    <col min="12808" max="12811" width="7.09765625" style="1882" customWidth="1"/>
    <col min="12812" max="12812" width="8.3984375" style="1882" customWidth="1"/>
    <col min="12813" max="12813" width="6.5" style="1882" customWidth="1"/>
    <col min="12814" max="12814" width="8.19921875" style="1882" customWidth="1"/>
    <col min="12815" max="13057" width="8.796875" style="1882"/>
    <col min="13058" max="13058" width="6.3984375" style="1882" customWidth="1"/>
    <col min="13059" max="13059" width="6.296875" style="1882" customWidth="1"/>
    <col min="13060" max="13062" width="7.296875" style="1882" customWidth="1"/>
    <col min="13063" max="13063" width="7.3984375" style="1882" customWidth="1"/>
    <col min="13064" max="13067" width="7.09765625" style="1882" customWidth="1"/>
    <col min="13068" max="13068" width="8.3984375" style="1882" customWidth="1"/>
    <col min="13069" max="13069" width="6.5" style="1882" customWidth="1"/>
    <col min="13070" max="13070" width="8.19921875" style="1882" customWidth="1"/>
    <col min="13071" max="13313" width="8.796875" style="1882"/>
    <col min="13314" max="13314" width="6.3984375" style="1882" customWidth="1"/>
    <col min="13315" max="13315" width="6.296875" style="1882" customWidth="1"/>
    <col min="13316" max="13318" width="7.296875" style="1882" customWidth="1"/>
    <col min="13319" max="13319" width="7.3984375" style="1882" customWidth="1"/>
    <col min="13320" max="13323" width="7.09765625" style="1882" customWidth="1"/>
    <col min="13324" max="13324" width="8.3984375" style="1882" customWidth="1"/>
    <col min="13325" max="13325" width="6.5" style="1882" customWidth="1"/>
    <col min="13326" max="13326" width="8.19921875" style="1882" customWidth="1"/>
    <col min="13327" max="13569" width="8.796875" style="1882"/>
    <col min="13570" max="13570" width="6.3984375" style="1882" customWidth="1"/>
    <col min="13571" max="13571" width="6.296875" style="1882" customWidth="1"/>
    <col min="13572" max="13574" width="7.296875" style="1882" customWidth="1"/>
    <col min="13575" max="13575" width="7.3984375" style="1882" customWidth="1"/>
    <col min="13576" max="13579" width="7.09765625" style="1882" customWidth="1"/>
    <col min="13580" max="13580" width="8.3984375" style="1882" customWidth="1"/>
    <col min="13581" max="13581" width="6.5" style="1882" customWidth="1"/>
    <col min="13582" max="13582" width="8.19921875" style="1882" customWidth="1"/>
    <col min="13583" max="13825" width="8.796875" style="1882"/>
    <col min="13826" max="13826" width="6.3984375" style="1882" customWidth="1"/>
    <col min="13827" max="13827" width="6.296875" style="1882" customWidth="1"/>
    <col min="13828" max="13830" width="7.296875" style="1882" customWidth="1"/>
    <col min="13831" max="13831" width="7.3984375" style="1882" customWidth="1"/>
    <col min="13832" max="13835" width="7.09765625" style="1882" customWidth="1"/>
    <col min="13836" max="13836" width="8.3984375" style="1882" customWidth="1"/>
    <col min="13837" max="13837" width="6.5" style="1882" customWidth="1"/>
    <col min="13838" max="13838" width="8.19921875" style="1882" customWidth="1"/>
    <col min="13839" max="14081" width="8.796875" style="1882"/>
    <col min="14082" max="14082" width="6.3984375" style="1882" customWidth="1"/>
    <col min="14083" max="14083" width="6.296875" style="1882" customWidth="1"/>
    <col min="14084" max="14086" width="7.296875" style="1882" customWidth="1"/>
    <col min="14087" max="14087" width="7.3984375" style="1882" customWidth="1"/>
    <col min="14088" max="14091" width="7.09765625" style="1882" customWidth="1"/>
    <col min="14092" max="14092" width="8.3984375" style="1882" customWidth="1"/>
    <col min="14093" max="14093" width="6.5" style="1882" customWidth="1"/>
    <col min="14094" max="14094" width="8.19921875" style="1882" customWidth="1"/>
    <col min="14095" max="14337" width="8.796875" style="1882"/>
    <col min="14338" max="14338" width="6.3984375" style="1882" customWidth="1"/>
    <col min="14339" max="14339" width="6.296875" style="1882" customWidth="1"/>
    <col min="14340" max="14342" width="7.296875" style="1882" customWidth="1"/>
    <col min="14343" max="14343" width="7.3984375" style="1882" customWidth="1"/>
    <col min="14344" max="14347" width="7.09765625" style="1882" customWidth="1"/>
    <col min="14348" max="14348" width="8.3984375" style="1882" customWidth="1"/>
    <col min="14349" max="14349" width="6.5" style="1882" customWidth="1"/>
    <col min="14350" max="14350" width="8.19921875" style="1882" customWidth="1"/>
    <col min="14351" max="14593" width="8.796875" style="1882"/>
    <col min="14594" max="14594" width="6.3984375" style="1882" customWidth="1"/>
    <col min="14595" max="14595" width="6.296875" style="1882" customWidth="1"/>
    <col min="14596" max="14598" width="7.296875" style="1882" customWidth="1"/>
    <col min="14599" max="14599" width="7.3984375" style="1882" customWidth="1"/>
    <col min="14600" max="14603" width="7.09765625" style="1882" customWidth="1"/>
    <col min="14604" max="14604" width="8.3984375" style="1882" customWidth="1"/>
    <col min="14605" max="14605" width="6.5" style="1882" customWidth="1"/>
    <col min="14606" max="14606" width="8.19921875" style="1882" customWidth="1"/>
    <col min="14607" max="14849" width="8.796875" style="1882"/>
    <col min="14850" max="14850" width="6.3984375" style="1882" customWidth="1"/>
    <col min="14851" max="14851" width="6.296875" style="1882" customWidth="1"/>
    <col min="14852" max="14854" width="7.296875" style="1882" customWidth="1"/>
    <col min="14855" max="14855" width="7.3984375" style="1882" customWidth="1"/>
    <col min="14856" max="14859" width="7.09765625" style="1882" customWidth="1"/>
    <col min="14860" max="14860" width="8.3984375" style="1882" customWidth="1"/>
    <col min="14861" max="14861" width="6.5" style="1882" customWidth="1"/>
    <col min="14862" max="14862" width="8.19921875" style="1882" customWidth="1"/>
    <col min="14863" max="15105" width="8.796875" style="1882"/>
    <col min="15106" max="15106" width="6.3984375" style="1882" customWidth="1"/>
    <col min="15107" max="15107" width="6.296875" style="1882" customWidth="1"/>
    <col min="15108" max="15110" width="7.296875" style="1882" customWidth="1"/>
    <col min="15111" max="15111" width="7.3984375" style="1882" customWidth="1"/>
    <col min="15112" max="15115" width="7.09765625" style="1882" customWidth="1"/>
    <col min="15116" max="15116" width="8.3984375" style="1882" customWidth="1"/>
    <col min="15117" max="15117" width="6.5" style="1882" customWidth="1"/>
    <col min="15118" max="15118" width="8.19921875" style="1882" customWidth="1"/>
    <col min="15119" max="15361" width="8.796875" style="1882"/>
    <col min="15362" max="15362" width="6.3984375" style="1882" customWidth="1"/>
    <col min="15363" max="15363" width="6.296875" style="1882" customWidth="1"/>
    <col min="15364" max="15366" width="7.296875" style="1882" customWidth="1"/>
    <col min="15367" max="15367" width="7.3984375" style="1882" customWidth="1"/>
    <col min="15368" max="15371" width="7.09765625" style="1882" customWidth="1"/>
    <col min="15372" max="15372" width="8.3984375" style="1882" customWidth="1"/>
    <col min="15373" max="15373" width="6.5" style="1882" customWidth="1"/>
    <col min="15374" max="15374" width="8.19921875" style="1882" customWidth="1"/>
    <col min="15375" max="15617" width="8.796875" style="1882"/>
    <col min="15618" max="15618" width="6.3984375" style="1882" customWidth="1"/>
    <col min="15619" max="15619" width="6.296875" style="1882" customWidth="1"/>
    <col min="15620" max="15622" width="7.296875" style="1882" customWidth="1"/>
    <col min="15623" max="15623" width="7.3984375" style="1882" customWidth="1"/>
    <col min="15624" max="15627" width="7.09765625" style="1882" customWidth="1"/>
    <col min="15628" max="15628" width="8.3984375" style="1882" customWidth="1"/>
    <col min="15629" max="15629" width="6.5" style="1882" customWidth="1"/>
    <col min="15630" max="15630" width="8.19921875" style="1882" customWidth="1"/>
    <col min="15631" max="15873" width="8.796875" style="1882"/>
    <col min="15874" max="15874" width="6.3984375" style="1882" customWidth="1"/>
    <col min="15875" max="15875" width="6.296875" style="1882" customWidth="1"/>
    <col min="15876" max="15878" width="7.296875" style="1882" customWidth="1"/>
    <col min="15879" max="15879" width="7.3984375" style="1882" customWidth="1"/>
    <col min="15880" max="15883" width="7.09765625" style="1882" customWidth="1"/>
    <col min="15884" max="15884" width="8.3984375" style="1882" customWidth="1"/>
    <col min="15885" max="15885" width="6.5" style="1882" customWidth="1"/>
    <col min="15886" max="15886" width="8.19921875" style="1882" customWidth="1"/>
    <col min="15887" max="16129" width="8.796875" style="1882"/>
    <col min="16130" max="16130" width="6.3984375" style="1882" customWidth="1"/>
    <col min="16131" max="16131" width="6.296875" style="1882" customWidth="1"/>
    <col min="16132" max="16134" width="7.296875" style="1882" customWidth="1"/>
    <col min="16135" max="16135" width="7.3984375" style="1882" customWidth="1"/>
    <col min="16136" max="16139" width="7.09765625" style="1882" customWidth="1"/>
    <col min="16140" max="16140" width="8.3984375" style="1882" customWidth="1"/>
    <col min="16141" max="16141" width="6.5" style="1882" customWidth="1"/>
    <col min="16142" max="16142" width="8.19921875" style="1882" customWidth="1"/>
    <col min="16143" max="16384" width="8.796875" style="1882"/>
  </cols>
  <sheetData>
    <row r="1" spans="1:14" ht="30" customHeight="1" thickBot="1">
      <c r="A1" s="1881" t="s">
        <v>3378</v>
      </c>
    </row>
    <row r="2" spans="1:14">
      <c r="A2" s="2754" t="s">
        <v>854</v>
      </c>
      <c r="B2" s="2756" t="s">
        <v>3379</v>
      </c>
      <c r="C2" s="2758" t="s">
        <v>3380</v>
      </c>
      <c r="D2" s="2759"/>
      <c r="E2" s="2759"/>
      <c r="F2" s="2759"/>
      <c r="G2" s="2759"/>
      <c r="H2" s="2759"/>
      <c r="I2" s="2759"/>
      <c r="J2" s="2759"/>
      <c r="K2" s="2759"/>
      <c r="L2" s="2673"/>
      <c r="M2" s="2760" t="s">
        <v>3381</v>
      </c>
      <c r="N2" s="2758" t="s">
        <v>3382</v>
      </c>
    </row>
    <row r="3" spans="1:14" ht="54">
      <c r="A3" s="2755"/>
      <c r="B3" s="2757"/>
      <c r="C3" s="1883" t="s">
        <v>3383</v>
      </c>
      <c r="D3" s="1883" t="s">
        <v>3384</v>
      </c>
      <c r="E3" s="1883" t="s">
        <v>3385</v>
      </c>
      <c r="F3" s="1884" t="s">
        <v>3386</v>
      </c>
      <c r="G3" s="1884" t="s">
        <v>3387</v>
      </c>
      <c r="H3" s="1884" t="s">
        <v>3388</v>
      </c>
      <c r="I3" s="1884" t="s">
        <v>3389</v>
      </c>
      <c r="J3" s="1885" t="s">
        <v>3390</v>
      </c>
      <c r="K3" s="1885" t="s">
        <v>3391</v>
      </c>
      <c r="L3" s="1885" t="s">
        <v>3392</v>
      </c>
      <c r="M3" s="2761"/>
      <c r="N3" s="2762"/>
    </row>
    <row r="4" spans="1:14" s="1889" customFormat="1">
      <c r="A4" s="1886"/>
      <c r="B4" s="1887" t="s">
        <v>3393</v>
      </c>
      <c r="C4" s="1888" t="s">
        <v>3393</v>
      </c>
      <c r="D4" s="1888" t="s">
        <v>3393</v>
      </c>
      <c r="E4" s="1888" t="s">
        <v>3393</v>
      </c>
      <c r="F4" s="1887" t="s">
        <v>3393</v>
      </c>
      <c r="G4" s="1887" t="s">
        <v>3393</v>
      </c>
      <c r="H4" s="1887" t="s">
        <v>3393</v>
      </c>
      <c r="I4" s="1887" t="s">
        <v>3393</v>
      </c>
      <c r="J4" s="1887" t="s">
        <v>3393</v>
      </c>
      <c r="K4" s="1887" t="s">
        <v>3393</v>
      </c>
      <c r="L4" s="1887" t="s">
        <v>3393</v>
      </c>
      <c r="M4" s="1887" t="s">
        <v>3394</v>
      </c>
      <c r="N4" s="1888" t="s">
        <v>1517</v>
      </c>
    </row>
    <row r="5" spans="1:14" ht="19.8" customHeight="1">
      <c r="A5" s="1760" t="s">
        <v>79</v>
      </c>
      <c r="B5" s="1598">
        <v>27165</v>
      </c>
      <c r="C5" s="1598">
        <v>4462</v>
      </c>
      <c r="D5" s="1598">
        <v>1188</v>
      </c>
      <c r="E5" s="1598">
        <v>1477</v>
      </c>
      <c r="F5" s="1598">
        <v>9011</v>
      </c>
      <c r="G5" s="1598">
        <v>782</v>
      </c>
      <c r="H5" s="1598">
        <v>7314</v>
      </c>
      <c r="I5" s="1598">
        <v>389</v>
      </c>
      <c r="J5" s="1598">
        <v>912</v>
      </c>
      <c r="K5" s="1598">
        <v>1630</v>
      </c>
      <c r="L5" s="1598" t="s">
        <v>69</v>
      </c>
      <c r="M5" s="1890">
        <v>95.7</v>
      </c>
      <c r="N5" s="1891">
        <v>11480737</v>
      </c>
    </row>
    <row r="6" spans="1:14" ht="19.8" customHeight="1">
      <c r="A6" s="1760">
        <v>2</v>
      </c>
      <c r="B6" s="1598">
        <v>14425</v>
      </c>
      <c r="C6" s="1598">
        <v>2370</v>
      </c>
      <c r="D6" s="1598">
        <v>535</v>
      </c>
      <c r="E6" s="1598">
        <v>877</v>
      </c>
      <c r="F6" s="1598">
        <v>2497</v>
      </c>
      <c r="G6" s="1598">
        <v>245</v>
      </c>
      <c r="H6" s="1598">
        <v>5933</v>
      </c>
      <c r="I6" s="1598">
        <v>581</v>
      </c>
      <c r="J6" s="1598">
        <v>458</v>
      </c>
      <c r="K6" s="1598">
        <v>929</v>
      </c>
      <c r="L6" s="1598" t="s">
        <v>69</v>
      </c>
      <c r="M6" s="1890">
        <v>53.1</v>
      </c>
      <c r="N6" s="1891">
        <v>5498850</v>
      </c>
    </row>
    <row r="7" spans="1:14" ht="19.8" customHeight="1">
      <c r="A7" s="1760">
        <v>3</v>
      </c>
      <c r="B7" s="1598">
        <v>16902</v>
      </c>
      <c r="C7" s="1598">
        <v>3361</v>
      </c>
      <c r="D7" s="1598">
        <v>584</v>
      </c>
      <c r="E7" s="1598">
        <v>1044</v>
      </c>
      <c r="F7" s="1598">
        <v>3052</v>
      </c>
      <c r="G7" s="1598">
        <v>144</v>
      </c>
      <c r="H7" s="1598">
        <v>6486</v>
      </c>
      <c r="I7" s="1598">
        <v>860</v>
      </c>
      <c r="J7" s="1598">
        <v>367</v>
      </c>
      <c r="K7" s="1598">
        <v>1004</v>
      </c>
      <c r="L7" s="1598" t="s">
        <v>69</v>
      </c>
      <c r="M7" s="1892">
        <f>B7/B6</f>
        <v>1.1717157712305026</v>
      </c>
      <c r="N7" s="1891">
        <v>7680445</v>
      </c>
    </row>
    <row r="8" spans="1:14" ht="19.8" customHeight="1">
      <c r="A8" s="1760">
        <v>4</v>
      </c>
      <c r="B8" s="1598">
        <v>21747</v>
      </c>
      <c r="C8" s="1598">
        <v>7219</v>
      </c>
      <c r="D8" s="1598">
        <v>639</v>
      </c>
      <c r="E8" s="1598">
        <v>4673</v>
      </c>
      <c r="F8" s="1598">
        <v>5126</v>
      </c>
      <c r="G8" s="1598">
        <v>892</v>
      </c>
      <c r="H8" s="1598">
        <v>1708</v>
      </c>
      <c r="I8" s="1598" t="s">
        <v>69</v>
      </c>
      <c r="J8" s="1598" t="s">
        <v>69</v>
      </c>
      <c r="K8" s="1598" t="s">
        <v>69</v>
      </c>
      <c r="L8" s="1598">
        <v>1490</v>
      </c>
      <c r="M8" s="1892">
        <f>B8/B7</f>
        <v>1.2866524671636492</v>
      </c>
      <c r="N8" s="1891">
        <v>14659626</v>
      </c>
    </row>
    <row r="9" spans="1:14" ht="19.8" customHeight="1" thickBot="1">
      <c r="A9" s="1764">
        <v>5</v>
      </c>
      <c r="B9" s="1602">
        <v>25626</v>
      </c>
      <c r="C9" s="1602">
        <v>8001</v>
      </c>
      <c r="D9" s="1602">
        <v>642</v>
      </c>
      <c r="E9" s="1602">
        <v>5169</v>
      </c>
      <c r="F9" s="1602">
        <v>7477</v>
      </c>
      <c r="G9" s="1602">
        <v>1128</v>
      </c>
      <c r="H9" s="1602">
        <v>1634</v>
      </c>
      <c r="I9" s="1602" t="s">
        <v>69</v>
      </c>
      <c r="J9" s="1602" t="s">
        <v>69</v>
      </c>
      <c r="K9" s="1602" t="s">
        <v>69</v>
      </c>
      <c r="L9" s="1602">
        <v>1575</v>
      </c>
      <c r="M9" s="1893">
        <f>B9/B8</f>
        <v>1.1783694302662435</v>
      </c>
      <c r="N9" s="1894">
        <v>17685612</v>
      </c>
    </row>
    <row r="10" spans="1:14" ht="16.8" customHeight="1">
      <c r="A10" s="1605" t="s">
        <v>3395</v>
      </c>
      <c r="B10" s="1605"/>
      <c r="C10" s="1605"/>
      <c r="D10" s="1605"/>
      <c r="E10" s="1605"/>
      <c r="F10" s="1605"/>
      <c r="G10" s="1605"/>
      <c r="H10" s="1605"/>
      <c r="I10" s="1605"/>
      <c r="J10" s="1605"/>
      <c r="K10" s="1605"/>
      <c r="L10" s="1605"/>
      <c r="M10" s="1605"/>
      <c r="N10" s="1605"/>
    </row>
    <row r="14" spans="1:14">
      <c r="C14" s="1895"/>
      <c r="D14" s="1895"/>
      <c r="E14" s="1895"/>
    </row>
    <row r="15" spans="1:14">
      <c r="C15" s="1896"/>
      <c r="D15" s="1896"/>
      <c r="E15" s="1896"/>
      <c r="F15" s="1896"/>
      <c r="G15" s="1896"/>
      <c r="H15" s="1896"/>
      <c r="I15" s="1896"/>
      <c r="J15" s="1896"/>
      <c r="K15" s="1896"/>
      <c r="L15" s="1896"/>
    </row>
    <row r="16" spans="1:14">
      <c r="B16" s="1896"/>
      <c r="C16" s="1896"/>
      <c r="D16" s="1896"/>
      <c r="E16" s="1896"/>
      <c r="F16" s="1896"/>
      <c r="G16" s="1896"/>
      <c r="H16" s="1896"/>
      <c r="I16" s="1896"/>
      <c r="J16" s="1896"/>
      <c r="K16" s="1896"/>
      <c r="L16" s="1896"/>
    </row>
  </sheetData>
  <mergeCells count="5">
    <mergeCell ref="A2:A3"/>
    <mergeCell ref="B2:B3"/>
    <mergeCell ref="C2:L2"/>
    <mergeCell ref="M2:M3"/>
    <mergeCell ref="N2:N3"/>
  </mergeCells>
  <phoneticPr fontId="4"/>
  <pageMargins left="0.7" right="0.7" top="0.75" bottom="0.75" header="0.3" footer="0.3"/>
  <pageSetup paperSize="9" orientation="landscape"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606B-BC97-4EF5-883F-41078CD23869}">
  <sheetPr codeName="Sheet142"/>
  <dimension ref="A1:D10"/>
  <sheetViews>
    <sheetView workbookViewId="0"/>
  </sheetViews>
  <sheetFormatPr defaultRowHeight="19.8" customHeight="1"/>
  <cols>
    <col min="1" max="1" width="11.3984375" style="1343" customWidth="1"/>
    <col min="2" max="4" width="10.3984375" style="1343" customWidth="1"/>
    <col min="5" max="253" width="8.796875" style="1343"/>
    <col min="254" max="256" width="11.3984375" style="1343" customWidth="1"/>
    <col min="257" max="259" width="0" style="1343" hidden="1" customWidth="1"/>
    <col min="260" max="260" width="11.3984375" style="1343" customWidth="1"/>
    <col min="261" max="509" width="8.796875" style="1343"/>
    <col min="510" max="512" width="11.3984375" style="1343" customWidth="1"/>
    <col min="513" max="515" width="0" style="1343" hidden="1" customWidth="1"/>
    <col min="516" max="516" width="11.3984375" style="1343" customWidth="1"/>
    <col min="517" max="765" width="8.796875" style="1343"/>
    <col min="766" max="768" width="11.3984375" style="1343" customWidth="1"/>
    <col min="769" max="771" width="0" style="1343" hidden="1" customWidth="1"/>
    <col min="772" max="772" width="11.3984375" style="1343" customWidth="1"/>
    <col min="773" max="1021" width="8.796875" style="1343"/>
    <col min="1022" max="1024" width="11.3984375" style="1343" customWidth="1"/>
    <col min="1025" max="1027" width="0" style="1343" hidden="1" customWidth="1"/>
    <col min="1028" max="1028" width="11.3984375" style="1343" customWidth="1"/>
    <col min="1029" max="1277" width="8.796875" style="1343"/>
    <col min="1278" max="1280" width="11.3984375" style="1343" customWidth="1"/>
    <col min="1281" max="1283" width="0" style="1343" hidden="1" customWidth="1"/>
    <col min="1284" max="1284" width="11.3984375" style="1343" customWidth="1"/>
    <col min="1285" max="1533" width="8.796875" style="1343"/>
    <col min="1534" max="1536" width="11.3984375" style="1343" customWidth="1"/>
    <col min="1537" max="1539" width="0" style="1343" hidden="1" customWidth="1"/>
    <col min="1540" max="1540" width="11.3984375" style="1343" customWidth="1"/>
    <col min="1541" max="1789" width="8.796875" style="1343"/>
    <col min="1790" max="1792" width="11.3984375" style="1343" customWidth="1"/>
    <col min="1793" max="1795" width="0" style="1343" hidden="1" customWidth="1"/>
    <col min="1796" max="1796" width="11.3984375" style="1343" customWidth="1"/>
    <col min="1797" max="2045" width="8.796875" style="1343"/>
    <col min="2046" max="2048" width="11.3984375" style="1343" customWidth="1"/>
    <col min="2049" max="2051" width="0" style="1343" hidden="1" customWidth="1"/>
    <col min="2052" max="2052" width="11.3984375" style="1343" customWidth="1"/>
    <col min="2053" max="2301" width="8.796875" style="1343"/>
    <col min="2302" max="2304" width="11.3984375" style="1343" customWidth="1"/>
    <col min="2305" max="2307" width="0" style="1343" hidden="1" customWidth="1"/>
    <col min="2308" max="2308" width="11.3984375" style="1343" customWidth="1"/>
    <col min="2309" max="2557" width="8.796875" style="1343"/>
    <col min="2558" max="2560" width="11.3984375" style="1343" customWidth="1"/>
    <col min="2561" max="2563" width="0" style="1343" hidden="1" customWidth="1"/>
    <col min="2564" max="2564" width="11.3984375" style="1343" customWidth="1"/>
    <col min="2565" max="2813" width="8.796875" style="1343"/>
    <col min="2814" max="2816" width="11.3984375" style="1343" customWidth="1"/>
    <col min="2817" max="2819" width="0" style="1343" hidden="1" customWidth="1"/>
    <col min="2820" max="2820" width="11.3984375" style="1343" customWidth="1"/>
    <col min="2821" max="3069" width="8.796875" style="1343"/>
    <col min="3070" max="3072" width="11.3984375" style="1343" customWidth="1"/>
    <col min="3073" max="3075" width="0" style="1343" hidden="1" customWidth="1"/>
    <col min="3076" max="3076" width="11.3984375" style="1343" customWidth="1"/>
    <col min="3077" max="3325" width="8.796875" style="1343"/>
    <col min="3326" max="3328" width="11.3984375" style="1343" customWidth="1"/>
    <col min="3329" max="3331" width="0" style="1343" hidden="1" customWidth="1"/>
    <col min="3332" max="3332" width="11.3984375" style="1343" customWidth="1"/>
    <col min="3333" max="3581" width="8.796875" style="1343"/>
    <col min="3582" max="3584" width="11.3984375" style="1343" customWidth="1"/>
    <col min="3585" max="3587" width="0" style="1343" hidden="1" customWidth="1"/>
    <col min="3588" max="3588" width="11.3984375" style="1343" customWidth="1"/>
    <col min="3589" max="3837" width="8.796875" style="1343"/>
    <col min="3838" max="3840" width="11.3984375" style="1343" customWidth="1"/>
    <col min="3841" max="3843" width="0" style="1343" hidden="1" customWidth="1"/>
    <col min="3844" max="3844" width="11.3984375" style="1343" customWidth="1"/>
    <col min="3845" max="4093" width="8.796875" style="1343"/>
    <col min="4094" max="4096" width="11.3984375" style="1343" customWidth="1"/>
    <col min="4097" max="4099" width="0" style="1343" hidden="1" customWidth="1"/>
    <col min="4100" max="4100" width="11.3984375" style="1343" customWidth="1"/>
    <col min="4101" max="4349" width="8.796875" style="1343"/>
    <col min="4350" max="4352" width="11.3984375" style="1343" customWidth="1"/>
    <col min="4353" max="4355" width="0" style="1343" hidden="1" customWidth="1"/>
    <col min="4356" max="4356" width="11.3984375" style="1343" customWidth="1"/>
    <col min="4357" max="4605" width="8.796875" style="1343"/>
    <col min="4606" max="4608" width="11.3984375" style="1343" customWidth="1"/>
    <col min="4609" max="4611" width="0" style="1343" hidden="1" customWidth="1"/>
    <col min="4612" max="4612" width="11.3984375" style="1343" customWidth="1"/>
    <col min="4613" max="4861" width="8.796875" style="1343"/>
    <col min="4862" max="4864" width="11.3984375" style="1343" customWidth="1"/>
    <col min="4865" max="4867" width="0" style="1343" hidden="1" customWidth="1"/>
    <col min="4868" max="4868" width="11.3984375" style="1343" customWidth="1"/>
    <col min="4869" max="5117" width="8.796875" style="1343"/>
    <col min="5118" max="5120" width="11.3984375" style="1343" customWidth="1"/>
    <col min="5121" max="5123" width="0" style="1343" hidden="1" customWidth="1"/>
    <col min="5124" max="5124" width="11.3984375" style="1343" customWidth="1"/>
    <col min="5125" max="5373" width="8.796875" style="1343"/>
    <col min="5374" max="5376" width="11.3984375" style="1343" customWidth="1"/>
    <col min="5377" max="5379" width="0" style="1343" hidden="1" customWidth="1"/>
    <col min="5380" max="5380" width="11.3984375" style="1343" customWidth="1"/>
    <col min="5381" max="5629" width="8.796875" style="1343"/>
    <col min="5630" max="5632" width="11.3984375" style="1343" customWidth="1"/>
    <col min="5633" max="5635" width="0" style="1343" hidden="1" customWidth="1"/>
    <col min="5636" max="5636" width="11.3984375" style="1343" customWidth="1"/>
    <col min="5637" max="5885" width="8.796875" style="1343"/>
    <col min="5886" max="5888" width="11.3984375" style="1343" customWidth="1"/>
    <col min="5889" max="5891" width="0" style="1343" hidden="1" customWidth="1"/>
    <col min="5892" max="5892" width="11.3984375" style="1343" customWidth="1"/>
    <col min="5893" max="6141" width="8.796875" style="1343"/>
    <col min="6142" max="6144" width="11.3984375" style="1343" customWidth="1"/>
    <col min="6145" max="6147" width="0" style="1343" hidden="1" customWidth="1"/>
    <col min="6148" max="6148" width="11.3984375" style="1343" customWidth="1"/>
    <col min="6149" max="6397" width="8.796875" style="1343"/>
    <col min="6398" max="6400" width="11.3984375" style="1343" customWidth="1"/>
    <col min="6401" max="6403" width="0" style="1343" hidden="1" customWidth="1"/>
    <col min="6404" max="6404" width="11.3984375" style="1343" customWidth="1"/>
    <col min="6405" max="6653" width="8.796875" style="1343"/>
    <col min="6654" max="6656" width="11.3984375" style="1343" customWidth="1"/>
    <col min="6657" max="6659" width="0" style="1343" hidden="1" customWidth="1"/>
    <col min="6660" max="6660" width="11.3984375" style="1343" customWidth="1"/>
    <col min="6661" max="6909" width="8.796875" style="1343"/>
    <col min="6910" max="6912" width="11.3984375" style="1343" customWidth="1"/>
    <col min="6913" max="6915" width="0" style="1343" hidden="1" customWidth="1"/>
    <col min="6916" max="6916" width="11.3984375" style="1343" customWidth="1"/>
    <col min="6917" max="7165" width="8.796875" style="1343"/>
    <col min="7166" max="7168" width="11.3984375" style="1343" customWidth="1"/>
    <col min="7169" max="7171" width="0" style="1343" hidden="1" customWidth="1"/>
    <col min="7172" max="7172" width="11.3984375" style="1343" customWidth="1"/>
    <col min="7173" max="7421" width="8.796875" style="1343"/>
    <col min="7422" max="7424" width="11.3984375" style="1343" customWidth="1"/>
    <col min="7425" max="7427" width="0" style="1343" hidden="1" customWidth="1"/>
    <col min="7428" max="7428" width="11.3984375" style="1343" customWidth="1"/>
    <col min="7429" max="7677" width="8.796875" style="1343"/>
    <col min="7678" max="7680" width="11.3984375" style="1343" customWidth="1"/>
    <col min="7681" max="7683" width="0" style="1343" hidden="1" customWidth="1"/>
    <col min="7684" max="7684" width="11.3984375" style="1343" customWidth="1"/>
    <col min="7685" max="7933" width="8.796875" style="1343"/>
    <col min="7934" max="7936" width="11.3984375" style="1343" customWidth="1"/>
    <col min="7937" max="7939" width="0" style="1343" hidden="1" customWidth="1"/>
    <col min="7940" max="7940" width="11.3984375" style="1343" customWidth="1"/>
    <col min="7941" max="8189" width="8.796875" style="1343"/>
    <col min="8190" max="8192" width="11.3984375" style="1343" customWidth="1"/>
    <col min="8193" max="8195" width="0" style="1343" hidden="1" customWidth="1"/>
    <col min="8196" max="8196" width="11.3984375" style="1343" customWidth="1"/>
    <col min="8197" max="8445" width="8.796875" style="1343"/>
    <col min="8446" max="8448" width="11.3984375" style="1343" customWidth="1"/>
    <col min="8449" max="8451" width="0" style="1343" hidden="1" customWidth="1"/>
    <col min="8452" max="8452" width="11.3984375" style="1343" customWidth="1"/>
    <col min="8453" max="8701" width="8.796875" style="1343"/>
    <col min="8702" max="8704" width="11.3984375" style="1343" customWidth="1"/>
    <col min="8705" max="8707" width="0" style="1343" hidden="1" customWidth="1"/>
    <col min="8708" max="8708" width="11.3984375" style="1343" customWidth="1"/>
    <col min="8709" max="8957" width="8.796875" style="1343"/>
    <col min="8958" max="8960" width="11.3984375" style="1343" customWidth="1"/>
    <col min="8961" max="8963" width="0" style="1343" hidden="1" customWidth="1"/>
    <col min="8964" max="8964" width="11.3984375" style="1343" customWidth="1"/>
    <col min="8965" max="9213" width="8.796875" style="1343"/>
    <col min="9214" max="9216" width="11.3984375" style="1343" customWidth="1"/>
    <col min="9217" max="9219" width="0" style="1343" hidden="1" customWidth="1"/>
    <col min="9220" max="9220" width="11.3984375" style="1343" customWidth="1"/>
    <col min="9221" max="9469" width="8.796875" style="1343"/>
    <col min="9470" max="9472" width="11.3984375" style="1343" customWidth="1"/>
    <col min="9473" max="9475" width="0" style="1343" hidden="1" customWidth="1"/>
    <col min="9476" max="9476" width="11.3984375" style="1343" customWidth="1"/>
    <col min="9477" max="9725" width="8.796875" style="1343"/>
    <col min="9726" max="9728" width="11.3984375" style="1343" customWidth="1"/>
    <col min="9729" max="9731" width="0" style="1343" hidden="1" customWidth="1"/>
    <col min="9732" max="9732" width="11.3984375" style="1343" customWidth="1"/>
    <col min="9733" max="9981" width="8.796875" style="1343"/>
    <col min="9982" max="9984" width="11.3984375" style="1343" customWidth="1"/>
    <col min="9985" max="9987" width="0" style="1343" hidden="1" customWidth="1"/>
    <col min="9988" max="9988" width="11.3984375" style="1343" customWidth="1"/>
    <col min="9989" max="10237" width="8.796875" style="1343"/>
    <col min="10238" max="10240" width="11.3984375" style="1343" customWidth="1"/>
    <col min="10241" max="10243" width="0" style="1343" hidden="1" customWidth="1"/>
    <col min="10244" max="10244" width="11.3984375" style="1343" customWidth="1"/>
    <col min="10245" max="10493" width="8.796875" style="1343"/>
    <col min="10494" max="10496" width="11.3984375" style="1343" customWidth="1"/>
    <col min="10497" max="10499" width="0" style="1343" hidden="1" customWidth="1"/>
    <col min="10500" max="10500" width="11.3984375" style="1343" customWidth="1"/>
    <col min="10501" max="10749" width="8.796875" style="1343"/>
    <col min="10750" max="10752" width="11.3984375" style="1343" customWidth="1"/>
    <col min="10753" max="10755" width="0" style="1343" hidden="1" customWidth="1"/>
    <col min="10756" max="10756" width="11.3984375" style="1343" customWidth="1"/>
    <col min="10757" max="11005" width="8.796875" style="1343"/>
    <col min="11006" max="11008" width="11.3984375" style="1343" customWidth="1"/>
    <col min="11009" max="11011" width="0" style="1343" hidden="1" customWidth="1"/>
    <col min="11012" max="11012" width="11.3984375" style="1343" customWidth="1"/>
    <col min="11013" max="11261" width="8.796875" style="1343"/>
    <col min="11262" max="11264" width="11.3984375" style="1343" customWidth="1"/>
    <col min="11265" max="11267" width="0" style="1343" hidden="1" customWidth="1"/>
    <col min="11268" max="11268" width="11.3984375" style="1343" customWidth="1"/>
    <col min="11269" max="11517" width="8.796875" style="1343"/>
    <col min="11518" max="11520" width="11.3984375" style="1343" customWidth="1"/>
    <col min="11521" max="11523" width="0" style="1343" hidden="1" customWidth="1"/>
    <col min="11524" max="11524" width="11.3984375" style="1343" customWidth="1"/>
    <col min="11525" max="11773" width="8.796875" style="1343"/>
    <col min="11774" max="11776" width="11.3984375" style="1343" customWidth="1"/>
    <col min="11777" max="11779" width="0" style="1343" hidden="1" customWidth="1"/>
    <col min="11780" max="11780" width="11.3984375" style="1343" customWidth="1"/>
    <col min="11781" max="12029" width="8.796875" style="1343"/>
    <col min="12030" max="12032" width="11.3984375" style="1343" customWidth="1"/>
    <col min="12033" max="12035" width="0" style="1343" hidden="1" customWidth="1"/>
    <col min="12036" max="12036" width="11.3984375" style="1343" customWidth="1"/>
    <col min="12037" max="12285" width="8.796875" style="1343"/>
    <col min="12286" max="12288" width="11.3984375" style="1343" customWidth="1"/>
    <col min="12289" max="12291" width="0" style="1343" hidden="1" customWidth="1"/>
    <col min="12292" max="12292" width="11.3984375" style="1343" customWidth="1"/>
    <col min="12293" max="12541" width="8.796875" style="1343"/>
    <col min="12542" max="12544" width="11.3984375" style="1343" customWidth="1"/>
    <col min="12545" max="12547" width="0" style="1343" hidden="1" customWidth="1"/>
    <col min="12548" max="12548" width="11.3984375" style="1343" customWidth="1"/>
    <col min="12549" max="12797" width="8.796875" style="1343"/>
    <col min="12798" max="12800" width="11.3984375" style="1343" customWidth="1"/>
    <col min="12801" max="12803" width="0" style="1343" hidden="1" customWidth="1"/>
    <col min="12804" max="12804" width="11.3984375" style="1343" customWidth="1"/>
    <col min="12805" max="13053" width="8.796875" style="1343"/>
    <col min="13054" max="13056" width="11.3984375" style="1343" customWidth="1"/>
    <col min="13057" max="13059" width="0" style="1343" hidden="1" customWidth="1"/>
    <col min="13060" max="13060" width="11.3984375" style="1343" customWidth="1"/>
    <col min="13061" max="13309" width="8.796875" style="1343"/>
    <col min="13310" max="13312" width="11.3984375" style="1343" customWidth="1"/>
    <col min="13313" max="13315" width="0" style="1343" hidden="1" customWidth="1"/>
    <col min="13316" max="13316" width="11.3984375" style="1343" customWidth="1"/>
    <col min="13317" max="13565" width="8.796875" style="1343"/>
    <col min="13566" max="13568" width="11.3984375" style="1343" customWidth="1"/>
    <col min="13569" max="13571" width="0" style="1343" hidden="1" customWidth="1"/>
    <col min="13572" max="13572" width="11.3984375" style="1343" customWidth="1"/>
    <col min="13573" max="13821" width="8.796875" style="1343"/>
    <col min="13822" max="13824" width="11.3984375" style="1343" customWidth="1"/>
    <col min="13825" max="13827" width="0" style="1343" hidden="1" customWidth="1"/>
    <col min="13828" max="13828" width="11.3984375" style="1343" customWidth="1"/>
    <col min="13829" max="14077" width="8.796875" style="1343"/>
    <col min="14078" max="14080" width="11.3984375" style="1343" customWidth="1"/>
    <col min="14081" max="14083" width="0" style="1343" hidden="1" customWidth="1"/>
    <col min="14084" max="14084" width="11.3984375" style="1343" customWidth="1"/>
    <col min="14085" max="14333" width="8.796875" style="1343"/>
    <col min="14334" max="14336" width="11.3984375" style="1343" customWidth="1"/>
    <col min="14337" max="14339" width="0" style="1343" hidden="1" customWidth="1"/>
    <col min="14340" max="14340" width="11.3984375" style="1343" customWidth="1"/>
    <col min="14341" max="14589" width="8.796875" style="1343"/>
    <col min="14590" max="14592" width="11.3984375" style="1343" customWidth="1"/>
    <col min="14593" max="14595" width="0" style="1343" hidden="1" customWidth="1"/>
    <col min="14596" max="14596" width="11.3984375" style="1343" customWidth="1"/>
    <col min="14597" max="14845" width="8.796875" style="1343"/>
    <col min="14846" max="14848" width="11.3984375" style="1343" customWidth="1"/>
    <col min="14849" max="14851" width="0" style="1343" hidden="1" customWidth="1"/>
    <col min="14852" max="14852" width="11.3984375" style="1343" customWidth="1"/>
    <col min="14853" max="15101" width="8.796875" style="1343"/>
    <col min="15102" max="15104" width="11.3984375" style="1343" customWidth="1"/>
    <col min="15105" max="15107" width="0" style="1343" hidden="1" customWidth="1"/>
    <col min="15108" max="15108" width="11.3984375" style="1343" customWidth="1"/>
    <col min="15109" max="15357" width="8.796875" style="1343"/>
    <col min="15358" max="15360" width="11.3984375" style="1343" customWidth="1"/>
    <col min="15361" max="15363" width="0" style="1343" hidden="1" customWidth="1"/>
    <col min="15364" max="15364" width="11.3984375" style="1343" customWidth="1"/>
    <col min="15365" max="15613" width="8.796875" style="1343"/>
    <col min="15614" max="15616" width="11.3984375" style="1343" customWidth="1"/>
    <col min="15617" max="15619" width="0" style="1343" hidden="1" customWidth="1"/>
    <col min="15620" max="15620" width="11.3984375" style="1343" customWidth="1"/>
    <col min="15621" max="15869" width="8.796875" style="1343"/>
    <col min="15870" max="15872" width="11.3984375" style="1343" customWidth="1"/>
    <col min="15873" max="15875" width="0" style="1343" hidden="1" customWidth="1"/>
    <col min="15876" max="15876" width="11.3984375" style="1343" customWidth="1"/>
    <col min="15877" max="16125" width="8.796875" style="1343"/>
    <col min="16126" max="16128" width="11.3984375" style="1343" customWidth="1"/>
    <col min="16129" max="16131" width="0" style="1343" hidden="1" customWidth="1"/>
    <col min="16132" max="16132" width="11.3984375" style="1343" customWidth="1"/>
    <col min="16133" max="16384" width="8.796875" style="1343"/>
  </cols>
  <sheetData>
    <row r="1" spans="1:4" ht="30" customHeight="1" thickBot="1">
      <c r="A1" s="1200" t="s">
        <v>3396</v>
      </c>
    </row>
    <row r="2" spans="1:4" ht="42" customHeight="1">
      <c r="A2" s="1413" t="s">
        <v>3397</v>
      </c>
      <c r="B2" s="1593" t="s">
        <v>1961</v>
      </c>
      <c r="C2" s="1897" t="s">
        <v>3400</v>
      </c>
      <c r="D2" s="1898" t="s">
        <v>3398</v>
      </c>
    </row>
    <row r="3" spans="1:4" ht="19.8" customHeight="1">
      <c r="A3" s="1899"/>
      <c r="B3" s="1217" t="s">
        <v>229</v>
      </c>
      <c r="C3" s="1217" t="s">
        <v>229</v>
      </c>
      <c r="D3" s="1900" t="s">
        <v>229</v>
      </c>
    </row>
    <row r="4" spans="1:4" ht="19.8" customHeight="1">
      <c r="A4" s="1754" t="s">
        <v>1638</v>
      </c>
      <c r="B4" s="1901">
        <v>82655</v>
      </c>
      <c r="C4" s="1901">
        <v>81455</v>
      </c>
      <c r="D4" s="1902">
        <v>1200</v>
      </c>
    </row>
    <row r="5" spans="1:4" ht="19.8" customHeight="1">
      <c r="A5" s="1754">
        <v>2</v>
      </c>
      <c r="B5" s="1901">
        <v>69655</v>
      </c>
      <c r="C5" s="1901">
        <v>52802</v>
      </c>
      <c r="D5" s="1902">
        <v>16853</v>
      </c>
    </row>
    <row r="6" spans="1:4" ht="19.8" customHeight="1">
      <c r="A6" s="1754">
        <v>3</v>
      </c>
      <c r="B6" s="1901">
        <v>74793</v>
      </c>
      <c r="C6" s="1901">
        <v>57835</v>
      </c>
      <c r="D6" s="1902">
        <v>16958</v>
      </c>
    </row>
    <row r="7" spans="1:4" ht="19.8" customHeight="1">
      <c r="A7" s="1754">
        <v>4</v>
      </c>
      <c r="B7" s="1901">
        <v>69540</v>
      </c>
      <c r="C7" s="1901">
        <v>45580</v>
      </c>
      <c r="D7" s="1902">
        <v>23960</v>
      </c>
    </row>
    <row r="8" spans="1:4" ht="19.8" customHeight="1" thickBot="1">
      <c r="A8" s="1755">
        <v>5</v>
      </c>
      <c r="B8" s="1903">
        <v>65835</v>
      </c>
      <c r="C8" s="1903">
        <v>44735</v>
      </c>
      <c r="D8" s="1904">
        <v>21100</v>
      </c>
    </row>
    <row r="9" spans="1:4" ht="19.8" customHeight="1">
      <c r="A9" s="1201" t="s">
        <v>3399</v>
      </c>
      <c r="B9" s="1201"/>
      <c r="C9" s="1201"/>
      <c r="D9" s="1201"/>
    </row>
    <row r="10" spans="1:4" ht="19.8" customHeight="1">
      <c r="A10" s="1201"/>
    </row>
  </sheetData>
  <phoneticPr fontId="4"/>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40EF-869B-4ADC-96A8-206A0F9CA16B}">
  <sheetPr codeName="Sheet143">
    <pageSetUpPr fitToPage="1"/>
  </sheetPr>
  <dimension ref="A1:B99"/>
  <sheetViews>
    <sheetView workbookViewId="0">
      <selection activeCell="B37" sqref="B37"/>
    </sheetView>
  </sheetViews>
  <sheetFormatPr defaultColWidth="8.09765625" defaultRowHeight="13.2"/>
  <cols>
    <col min="1" max="1" width="12.296875" style="1952" customWidth="1"/>
    <col min="2" max="2" width="70.296875" style="1952" customWidth="1"/>
    <col min="3" max="254" width="8.09765625" style="1952"/>
    <col min="255" max="255" width="12.296875" style="1952" customWidth="1"/>
    <col min="256" max="256" width="1" style="1952" customWidth="1"/>
    <col min="257" max="257" width="70.296875" style="1952" customWidth="1"/>
    <col min="258" max="258" width="1.19921875" style="1952" customWidth="1"/>
    <col min="259" max="510" width="8.09765625" style="1952"/>
    <col min="511" max="511" width="12.296875" style="1952" customWidth="1"/>
    <col min="512" max="512" width="1" style="1952" customWidth="1"/>
    <col min="513" max="513" width="70.296875" style="1952" customWidth="1"/>
    <col min="514" max="514" width="1.19921875" style="1952" customWidth="1"/>
    <col min="515" max="766" width="8.09765625" style="1952"/>
    <col min="767" max="767" width="12.296875" style="1952" customWidth="1"/>
    <col min="768" max="768" width="1" style="1952" customWidth="1"/>
    <col min="769" max="769" width="70.296875" style="1952" customWidth="1"/>
    <col min="770" max="770" width="1.19921875" style="1952" customWidth="1"/>
    <col min="771" max="1022" width="8.09765625" style="1952"/>
    <col min="1023" max="1023" width="12.296875" style="1952" customWidth="1"/>
    <col min="1024" max="1024" width="1" style="1952" customWidth="1"/>
    <col min="1025" max="1025" width="70.296875" style="1952" customWidth="1"/>
    <col min="1026" max="1026" width="1.19921875" style="1952" customWidth="1"/>
    <col min="1027" max="1278" width="8.09765625" style="1952"/>
    <col min="1279" max="1279" width="12.296875" style="1952" customWidth="1"/>
    <col min="1280" max="1280" width="1" style="1952" customWidth="1"/>
    <col min="1281" max="1281" width="70.296875" style="1952" customWidth="1"/>
    <col min="1282" max="1282" width="1.19921875" style="1952" customWidth="1"/>
    <col min="1283" max="1534" width="8.09765625" style="1952"/>
    <col min="1535" max="1535" width="12.296875" style="1952" customWidth="1"/>
    <col min="1536" max="1536" width="1" style="1952" customWidth="1"/>
    <col min="1537" max="1537" width="70.296875" style="1952" customWidth="1"/>
    <col min="1538" max="1538" width="1.19921875" style="1952" customWidth="1"/>
    <col min="1539" max="1790" width="8.09765625" style="1952"/>
    <col min="1791" max="1791" width="12.296875" style="1952" customWidth="1"/>
    <col min="1792" max="1792" width="1" style="1952" customWidth="1"/>
    <col min="1793" max="1793" width="70.296875" style="1952" customWidth="1"/>
    <col min="1794" max="1794" width="1.19921875" style="1952" customWidth="1"/>
    <col min="1795" max="2046" width="8.09765625" style="1952"/>
    <col min="2047" max="2047" width="12.296875" style="1952" customWidth="1"/>
    <col min="2048" max="2048" width="1" style="1952" customWidth="1"/>
    <col min="2049" max="2049" width="70.296875" style="1952" customWidth="1"/>
    <col min="2050" max="2050" width="1.19921875" style="1952" customWidth="1"/>
    <col min="2051" max="2302" width="8.09765625" style="1952"/>
    <col min="2303" max="2303" width="12.296875" style="1952" customWidth="1"/>
    <col min="2304" max="2304" width="1" style="1952" customWidth="1"/>
    <col min="2305" max="2305" width="70.296875" style="1952" customWidth="1"/>
    <col min="2306" max="2306" width="1.19921875" style="1952" customWidth="1"/>
    <col min="2307" max="2558" width="8.09765625" style="1952"/>
    <col min="2559" max="2559" width="12.296875" style="1952" customWidth="1"/>
    <col min="2560" max="2560" width="1" style="1952" customWidth="1"/>
    <col min="2561" max="2561" width="70.296875" style="1952" customWidth="1"/>
    <col min="2562" max="2562" width="1.19921875" style="1952" customWidth="1"/>
    <col min="2563" max="2814" width="8.09765625" style="1952"/>
    <col min="2815" max="2815" width="12.296875" style="1952" customWidth="1"/>
    <col min="2816" max="2816" width="1" style="1952" customWidth="1"/>
    <col min="2817" max="2817" width="70.296875" style="1952" customWidth="1"/>
    <col min="2818" max="2818" width="1.19921875" style="1952" customWidth="1"/>
    <col min="2819" max="3070" width="8.09765625" style="1952"/>
    <col min="3071" max="3071" width="12.296875" style="1952" customWidth="1"/>
    <col min="3072" max="3072" width="1" style="1952" customWidth="1"/>
    <col min="3073" max="3073" width="70.296875" style="1952" customWidth="1"/>
    <col min="3074" max="3074" width="1.19921875" style="1952" customWidth="1"/>
    <col min="3075" max="3326" width="8.09765625" style="1952"/>
    <col min="3327" max="3327" width="12.296875" style="1952" customWidth="1"/>
    <col min="3328" max="3328" width="1" style="1952" customWidth="1"/>
    <col min="3329" max="3329" width="70.296875" style="1952" customWidth="1"/>
    <col min="3330" max="3330" width="1.19921875" style="1952" customWidth="1"/>
    <col min="3331" max="3582" width="8.09765625" style="1952"/>
    <col min="3583" max="3583" width="12.296875" style="1952" customWidth="1"/>
    <col min="3584" max="3584" width="1" style="1952" customWidth="1"/>
    <col min="3585" max="3585" width="70.296875" style="1952" customWidth="1"/>
    <col min="3586" max="3586" width="1.19921875" style="1952" customWidth="1"/>
    <col min="3587" max="3838" width="8.09765625" style="1952"/>
    <col min="3839" max="3839" width="12.296875" style="1952" customWidth="1"/>
    <col min="3840" max="3840" width="1" style="1952" customWidth="1"/>
    <col min="3841" max="3841" width="70.296875" style="1952" customWidth="1"/>
    <col min="3842" max="3842" width="1.19921875" style="1952" customWidth="1"/>
    <col min="3843" max="4094" width="8.09765625" style="1952"/>
    <col min="4095" max="4095" width="12.296875" style="1952" customWidth="1"/>
    <col min="4096" max="4096" width="1" style="1952" customWidth="1"/>
    <col min="4097" max="4097" width="70.296875" style="1952" customWidth="1"/>
    <col min="4098" max="4098" width="1.19921875" style="1952" customWidth="1"/>
    <col min="4099" max="4350" width="8.09765625" style="1952"/>
    <col min="4351" max="4351" width="12.296875" style="1952" customWidth="1"/>
    <col min="4352" max="4352" width="1" style="1952" customWidth="1"/>
    <col min="4353" max="4353" width="70.296875" style="1952" customWidth="1"/>
    <col min="4354" max="4354" width="1.19921875" style="1952" customWidth="1"/>
    <col min="4355" max="4606" width="8.09765625" style="1952"/>
    <col min="4607" max="4607" width="12.296875" style="1952" customWidth="1"/>
    <col min="4608" max="4608" width="1" style="1952" customWidth="1"/>
    <col min="4609" max="4609" width="70.296875" style="1952" customWidth="1"/>
    <col min="4610" max="4610" width="1.19921875" style="1952" customWidth="1"/>
    <col min="4611" max="4862" width="8.09765625" style="1952"/>
    <col min="4863" max="4863" width="12.296875" style="1952" customWidth="1"/>
    <col min="4864" max="4864" width="1" style="1952" customWidth="1"/>
    <col min="4865" max="4865" width="70.296875" style="1952" customWidth="1"/>
    <col min="4866" max="4866" width="1.19921875" style="1952" customWidth="1"/>
    <col min="4867" max="5118" width="8.09765625" style="1952"/>
    <col min="5119" max="5119" width="12.296875" style="1952" customWidth="1"/>
    <col min="5120" max="5120" width="1" style="1952" customWidth="1"/>
    <col min="5121" max="5121" width="70.296875" style="1952" customWidth="1"/>
    <col min="5122" max="5122" width="1.19921875" style="1952" customWidth="1"/>
    <col min="5123" max="5374" width="8.09765625" style="1952"/>
    <col min="5375" max="5375" width="12.296875" style="1952" customWidth="1"/>
    <col min="5376" max="5376" width="1" style="1952" customWidth="1"/>
    <col min="5377" max="5377" width="70.296875" style="1952" customWidth="1"/>
    <col min="5378" max="5378" width="1.19921875" style="1952" customWidth="1"/>
    <col min="5379" max="5630" width="8.09765625" style="1952"/>
    <col min="5631" max="5631" width="12.296875" style="1952" customWidth="1"/>
    <col min="5632" max="5632" width="1" style="1952" customWidth="1"/>
    <col min="5633" max="5633" width="70.296875" style="1952" customWidth="1"/>
    <col min="5634" max="5634" width="1.19921875" style="1952" customWidth="1"/>
    <col min="5635" max="5886" width="8.09765625" style="1952"/>
    <col min="5887" max="5887" width="12.296875" style="1952" customWidth="1"/>
    <col min="5888" max="5888" width="1" style="1952" customWidth="1"/>
    <col min="5889" max="5889" width="70.296875" style="1952" customWidth="1"/>
    <col min="5890" max="5890" width="1.19921875" style="1952" customWidth="1"/>
    <col min="5891" max="6142" width="8.09765625" style="1952"/>
    <col min="6143" max="6143" width="12.296875" style="1952" customWidth="1"/>
    <col min="6144" max="6144" width="1" style="1952" customWidth="1"/>
    <col min="6145" max="6145" width="70.296875" style="1952" customWidth="1"/>
    <col min="6146" max="6146" width="1.19921875" style="1952" customWidth="1"/>
    <col min="6147" max="6398" width="8.09765625" style="1952"/>
    <col min="6399" max="6399" width="12.296875" style="1952" customWidth="1"/>
    <col min="6400" max="6400" width="1" style="1952" customWidth="1"/>
    <col min="6401" max="6401" width="70.296875" style="1952" customWidth="1"/>
    <col min="6402" max="6402" width="1.19921875" style="1952" customWidth="1"/>
    <col min="6403" max="6654" width="8.09765625" style="1952"/>
    <col min="6655" max="6655" width="12.296875" style="1952" customWidth="1"/>
    <col min="6656" max="6656" width="1" style="1952" customWidth="1"/>
    <col min="6657" max="6657" width="70.296875" style="1952" customWidth="1"/>
    <col min="6658" max="6658" width="1.19921875" style="1952" customWidth="1"/>
    <col min="6659" max="6910" width="8.09765625" style="1952"/>
    <col min="6911" max="6911" width="12.296875" style="1952" customWidth="1"/>
    <col min="6912" max="6912" width="1" style="1952" customWidth="1"/>
    <col min="6913" max="6913" width="70.296875" style="1952" customWidth="1"/>
    <col min="6914" max="6914" width="1.19921875" style="1952" customWidth="1"/>
    <col min="6915" max="7166" width="8.09765625" style="1952"/>
    <col min="7167" max="7167" width="12.296875" style="1952" customWidth="1"/>
    <col min="7168" max="7168" width="1" style="1952" customWidth="1"/>
    <col min="7169" max="7169" width="70.296875" style="1952" customWidth="1"/>
    <col min="7170" max="7170" width="1.19921875" style="1952" customWidth="1"/>
    <col min="7171" max="7422" width="8.09765625" style="1952"/>
    <col min="7423" max="7423" width="12.296875" style="1952" customWidth="1"/>
    <col min="7424" max="7424" width="1" style="1952" customWidth="1"/>
    <col min="7425" max="7425" width="70.296875" style="1952" customWidth="1"/>
    <col min="7426" max="7426" width="1.19921875" style="1952" customWidth="1"/>
    <col min="7427" max="7678" width="8.09765625" style="1952"/>
    <col min="7679" max="7679" width="12.296875" style="1952" customWidth="1"/>
    <col min="7680" max="7680" width="1" style="1952" customWidth="1"/>
    <col min="7681" max="7681" width="70.296875" style="1952" customWidth="1"/>
    <col min="7682" max="7682" width="1.19921875" style="1952" customWidth="1"/>
    <col min="7683" max="7934" width="8.09765625" style="1952"/>
    <col min="7935" max="7935" width="12.296875" style="1952" customWidth="1"/>
    <col min="7936" max="7936" width="1" style="1952" customWidth="1"/>
    <col min="7937" max="7937" width="70.296875" style="1952" customWidth="1"/>
    <col min="7938" max="7938" width="1.19921875" style="1952" customWidth="1"/>
    <col min="7939" max="8190" width="8.09765625" style="1952"/>
    <col min="8191" max="8191" width="12.296875" style="1952" customWidth="1"/>
    <col min="8192" max="8192" width="1" style="1952" customWidth="1"/>
    <col min="8193" max="8193" width="70.296875" style="1952" customWidth="1"/>
    <col min="8194" max="8194" width="1.19921875" style="1952" customWidth="1"/>
    <col min="8195" max="8446" width="8.09765625" style="1952"/>
    <col min="8447" max="8447" width="12.296875" style="1952" customWidth="1"/>
    <col min="8448" max="8448" width="1" style="1952" customWidth="1"/>
    <col min="8449" max="8449" width="70.296875" style="1952" customWidth="1"/>
    <col min="8450" max="8450" width="1.19921875" style="1952" customWidth="1"/>
    <col min="8451" max="8702" width="8.09765625" style="1952"/>
    <col min="8703" max="8703" width="12.296875" style="1952" customWidth="1"/>
    <col min="8704" max="8704" width="1" style="1952" customWidth="1"/>
    <col min="8705" max="8705" width="70.296875" style="1952" customWidth="1"/>
    <col min="8706" max="8706" width="1.19921875" style="1952" customWidth="1"/>
    <col min="8707" max="8958" width="8.09765625" style="1952"/>
    <col min="8959" max="8959" width="12.296875" style="1952" customWidth="1"/>
    <col min="8960" max="8960" width="1" style="1952" customWidth="1"/>
    <col min="8961" max="8961" width="70.296875" style="1952" customWidth="1"/>
    <col min="8962" max="8962" width="1.19921875" style="1952" customWidth="1"/>
    <col min="8963" max="9214" width="8.09765625" style="1952"/>
    <col min="9215" max="9215" width="12.296875" style="1952" customWidth="1"/>
    <col min="9216" max="9216" width="1" style="1952" customWidth="1"/>
    <col min="9217" max="9217" width="70.296875" style="1952" customWidth="1"/>
    <col min="9218" max="9218" width="1.19921875" style="1952" customWidth="1"/>
    <col min="9219" max="9470" width="8.09765625" style="1952"/>
    <col min="9471" max="9471" width="12.296875" style="1952" customWidth="1"/>
    <col min="9472" max="9472" width="1" style="1952" customWidth="1"/>
    <col min="9473" max="9473" width="70.296875" style="1952" customWidth="1"/>
    <col min="9474" max="9474" width="1.19921875" style="1952" customWidth="1"/>
    <col min="9475" max="9726" width="8.09765625" style="1952"/>
    <col min="9727" max="9727" width="12.296875" style="1952" customWidth="1"/>
    <col min="9728" max="9728" width="1" style="1952" customWidth="1"/>
    <col min="9729" max="9729" width="70.296875" style="1952" customWidth="1"/>
    <col min="9730" max="9730" width="1.19921875" style="1952" customWidth="1"/>
    <col min="9731" max="9982" width="8.09765625" style="1952"/>
    <col min="9983" max="9983" width="12.296875" style="1952" customWidth="1"/>
    <col min="9984" max="9984" width="1" style="1952" customWidth="1"/>
    <col min="9985" max="9985" width="70.296875" style="1952" customWidth="1"/>
    <col min="9986" max="9986" width="1.19921875" style="1952" customWidth="1"/>
    <col min="9987" max="10238" width="8.09765625" style="1952"/>
    <col min="10239" max="10239" width="12.296875" style="1952" customWidth="1"/>
    <col min="10240" max="10240" width="1" style="1952" customWidth="1"/>
    <col min="10241" max="10241" width="70.296875" style="1952" customWidth="1"/>
    <col min="10242" max="10242" width="1.19921875" style="1952" customWidth="1"/>
    <col min="10243" max="10494" width="8.09765625" style="1952"/>
    <col min="10495" max="10495" width="12.296875" style="1952" customWidth="1"/>
    <col min="10496" max="10496" width="1" style="1952" customWidth="1"/>
    <col min="10497" max="10497" width="70.296875" style="1952" customWidth="1"/>
    <col min="10498" max="10498" width="1.19921875" style="1952" customWidth="1"/>
    <col min="10499" max="10750" width="8.09765625" style="1952"/>
    <col min="10751" max="10751" width="12.296875" style="1952" customWidth="1"/>
    <col min="10752" max="10752" width="1" style="1952" customWidth="1"/>
    <col min="10753" max="10753" width="70.296875" style="1952" customWidth="1"/>
    <col min="10754" max="10754" width="1.19921875" style="1952" customWidth="1"/>
    <col min="10755" max="11006" width="8.09765625" style="1952"/>
    <col min="11007" max="11007" width="12.296875" style="1952" customWidth="1"/>
    <col min="11008" max="11008" width="1" style="1952" customWidth="1"/>
    <col min="11009" max="11009" width="70.296875" style="1952" customWidth="1"/>
    <col min="11010" max="11010" width="1.19921875" style="1952" customWidth="1"/>
    <col min="11011" max="11262" width="8.09765625" style="1952"/>
    <col min="11263" max="11263" width="12.296875" style="1952" customWidth="1"/>
    <col min="11264" max="11264" width="1" style="1952" customWidth="1"/>
    <col min="11265" max="11265" width="70.296875" style="1952" customWidth="1"/>
    <col min="11266" max="11266" width="1.19921875" style="1952" customWidth="1"/>
    <col min="11267" max="11518" width="8.09765625" style="1952"/>
    <col min="11519" max="11519" width="12.296875" style="1952" customWidth="1"/>
    <col min="11520" max="11520" width="1" style="1952" customWidth="1"/>
    <col min="11521" max="11521" width="70.296875" style="1952" customWidth="1"/>
    <col min="11522" max="11522" width="1.19921875" style="1952" customWidth="1"/>
    <col min="11523" max="11774" width="8.09765625" style="1952"/>
    <col min="11775" max="11775" width="12.296875" style="1952" customWidth="1"/>
    <col min="11776" max="11776" width="1" style="1952" customWidth="1"/>
    <col min="11777" max="11777" width="70.296875" style="1952" customWidth="1"/>
    <col min="11778" max="11778" width="1.19921875" style="1952" customWidth="1"/>
    <col min="11779" max="12030" width="8.09765625" style="1952"/>
    <col min="12031" max="12031" width="12.296875" style="1952" customWidth="1"/>
    <col min="12032" max="12032" width="1" style="1952" customWidth="1"/>
    <col min="12033" max="12033" width="70.296875" style="1952" customWidth="1"/>
    <col min="12034" max="12034" width="1.19921875" style="1952" customWidth="1"/>
    <col min="12035" max="12286" width="8.09765625" style="1952"/>
    <col min="12287" max="12287" width="12.296875" style="1952" customWidth="1"/>
    <col min="12288" max="12288" width="1" style="1952" customWidth="1"/>
    <col min="12289" max="12289" width="70.296875" style="1952" customWidth="1"/>
    <col min="12290" max="12290" width="1.19921875" style="1952" customWidth="1"/>
    <col min="12291" max="12542" width="8.09765625" style="1952"/>
    <col min="12543" max="12543" width="12.296875" style="1952" customWidth="1"/>
    <col min="12544" max="12544" width="1" style="1952" customWidth="1"/>
    <col min="12545" max="12545" width="70.296875" style="1952" customWidth="1"/>
    <col min="12546" max="12546" width="1.19921875" style="1952" customWidth="1"/>
    <col min="12547" max="12798" width="8.09765625" style="1952"/>
    <col min="12799" max="12799" width="12.296875" style="1952" customWidth="1"/>
    <col min="12800" max="12800" width="1" style="1952" customWidth="1"/>
    <col min="12801" max="12801" width="70.296875" style="1952" customWidth="1"/>
    <col min="12802" max="12802" width="1.19921875" style="1952" customWidth="1"/>
    <col min="12803" max="13054" width="8.09765625" style="1952"/>
    <col min="13055" max="13055" width="12.296875" style="1952" customWidth="1"/>
    <col min="13056" max="13056" width="1" style="1952" customWidth="1"/>
    <col min="13057" max="13057" width="70.296875" style="1952" customWidth="1"/>
    <col min="13058" max="13058" width="1.19921875" style="1952" customWidth="1"/>
    <col min="13059" max="13310" width="8.09765625" style="1952"/>
    <col min="13311" max="13311" width="12.296875" style="1952" customWidth="1"/>
    <col min="13312" max="13312" width="1" style="1952" customWidth="1"/>
    <col min="13313" max="13313" width="70.296875" style="1952" customWidth="1"/>
    <col min="13314" max="13314" width="1.19921875" style="1952" customWidth="1"/>
    <col min="13315" max="13566" width="8.09765625" style="1952"/>
    <col min="13567" max="13567" width="12.296875" style="1952" customWidth="1"/>
    <col min="13568" max="13568" width="1" style="1952" customWidth="1"/>
    <col min="13569" max="13569" width="70.296875" style="1952" customWidth="1"/>
    <col min="13570" max="13570" width="1.19921875" style="1952" customWidth="1"/>
    <col min="13571" max="13822" width="8.09765625" style="1952"/>
    <col min="13823" max="13823" width="12.296875" style="1952" customWidth="1"/>
    <col min="13824" max="13824" width="1" style="1952" customWidth="1"/>
    <col min="13825" max="13825" width="70.296875" style="1952" customWidth="1"/>
    <col min="13826" max="13826" width="1.19921875" style="1952" customWidth="1"/>
    <col min="13827" max="14078" width="8.09765625" style="1952"/>
    <col min="14079" max="14079" width="12.296875" style="1952" customWidth="1"/>
    <col min="14080" max="14080" width="1" style="1952" customWidth="1"/>
    <col min="14081" max="14081" width="70.296875" style="1952" customWidth="1"/>
    <col min="14082" max="14082" width="1.19921875" style="1952" customWidth="1"/>
    <col min="14083" max="14334" width="8.09765625" style="1952"/>
    <col min="14335" max="14335" width="12.296875" style="1952" customWidth="1"/>
    <col min="14336" max="14336" width="1" style="1952" customWidth="1"/>
    <col min="14337" max="14337" width="70.296875" style="1952" customWidth="1"/>
    <col min="14338" max="14338" width="1.19921875" style="1952" customWidth="1"/>
    <col min="14339" max="14590" width="8.09765625" style="1952"/>
    <col min="14591" max="14591" width="12.296875" style="1952" customWidth="1"/>
    <col min="14592" max="14592" width="1" style="1952" customWidth="1"/>
    <col min="14593" max="14593" width="70.296875" style="1952" customWidth="1"/>
    <col min="14594" max="14594" width="1.19921875" style="1952" customWidth="1"/>
    <col min="14595" max="14846" width="8.09765625" style="1952"/>
    <col min="14847" max="14847" width="12.296875" style="1952" customWidth="1"/>
    <col min="14848" max="14848" width="1" style="1952" customWidth="1"/>
    <col min="14849" max="14849" width="70.296875" style="1952" customWidth="1"/>
    <col min="14850" max="14850" width="1.19921875" style="1952" customWidth="1"/>
    <col min="14851" max="15102" width="8.09765625" style="1952"/>
    <col min="15103" max="15103" width="12.296875" style="1952" customWidth="1"/>
    <col min="15104" max="15104" width="1" style="1952" customWidth="1"/>
    <col min="15105" max="15105" width="70.296875" style="1952" customWidth="1"/>
    <col min="15106" max="15106" width="1.19921875" style="1952" customWidth="1"/>
    <col min="15107" max="15358" width="8.09765625" style="1952"/>
    <col min="15359" max="15359" width="12.296875" style="1952" customWidth="1"/>
    <col min="15360" max="15360" width="1" style="1952" customWidth="1"/>
    <col min="15361" max="15361" width="70.296875" style="1952" customWidth="1"/>
    <col min="15362" max="15362" width="1.19921875" style="1952" customWidth="1"/>
    <col min="15363" max="15614" width="8.09765625" style="1952"/>
    <col min="15615" max="15615" width="12.296875" style="1952" customWidth="1"/>
    <col min="15616" max="15616" width="1" style="1952" customWidth="1"/>
    <col min="15617" max="15617" width="70.296875" style="1952" customWidth="1"/>
    <col min="15618" max="15618" width="1.19921875" style="1952" customWidth="1"/>
    <col min="15619" max="15870" width="8.09765625" style="1952"/>
    <col min="15871" max="15871" width="12.296875" style="1952" customWidth="1"/>
    <col min="15872" max="15872" width="1" style="1952" customWidth="1"/>
    <col min="15873" max="15873" width="70.296875" style="1952" customWidth="1"/>
    <col min="15874" max="15874" width="1.19921875" style="1952" customWidth="1"/>
    <col min="15875" max="16126" width="8.09765625" style="1952"/>
    <col min="16127" max="16127" width="12.296875" style="1952" customWidth="1"/>
    <col min="16128" max="16128" width="1" style="1952" customWidth="1"/>
    <col min="16129" max="16129" width="70.296875" style="1952" customWidth="1"/>
    <col min="16130" max="16130" width="1.19921875" style="1952" customWidth="1"/>
    <col min="16131" max="16384" width="8.09765625" style="1952"/>
  </cols>
  <sheetData>
    <row r="1" spans="1:2" ht="30" customHeight="1" thickBot="1">
      <c r="A1" s="1426" t="s">
        <v>3515</v>
      </c>
      <c r="B1" s="1426"/>
    </row>
    <row r="2" spans="1:2" s="1202" customFormat="1" ht="18.75" customHeight="1">
      <c r="A2" s="1935" t="s">
        <v>3516</v>
      </c>
      <c r="B2" s="1953" t="s">
        <v>3570</v>
      </c>
    </row>
    <row r="3" spans="1:2" s="1202" customFormat="1" ht="111" customHeight="1">
      <c r="A3" s="1956" t="s">
        <v>3554</v>
      </c>
      <c r="B3" s="1957" t="s">
        <v>3518</v>
      </c>
    </row>
    <row r="4" spans="1:2" s="1202" customFormat="1" ht="70.5" customHeight="1">
      <c r="A4" s="1956" t="s">
        <v>3555</v>
      </c>
      <c r="B4" s="1957" t="s">
        <v>3519</v>
      </c>
    </row>
    <row r="5" spans="1:2" s="1202" customFormat="1" ht="79.2">
      <c r="A5" s="1956" t="s">
        <v>3556</v>
      </c>
      <c r="B5" s="1957" t="s">
        <v>3520</v>
      </c>
    </row>
    <row r="6" spans="1:2" s="1202" customFormat="1" ht="107.25" customHeight="1">
      <c r="A6" s="1956" t="s">
        <v>3521</v>
      </c>
      <c r="B6" s="1957" t="s">
        <v>3522</v>
      </c>
    </row>
    <row r="7" spans="1:2" s="1202" customFormat="1" ht="92.4">
      <c r="A7" s="1956" t="s">
        <v>3523</v>
      </c>
      <c r="B7" s="1957" t="s">
        <v>3557</v>
      </c>
    </row>
    <row r="8" spans="1:2" s="1202" customFormat="1" ht="218.25" customHeight="1">
      <c r="A8" s="1956" t="s">
        <v>3524</v>
      </c>
      <c r="B8" s="1957" t="s">
        <v>3558</v>
      </c>
    </row>
    <row r="9" spans="1:2" s="1202" customFormat="1" ht="80.25" customHeight="1" thickBot="1">
      <c r="A9" s="1939" t="s">
        <v>3383</v>
      </c>
      <c r="B9" s="1957" t="s">
        <v>3559</v>
      </c>
    </row>
    <row r="10" spans="1:2" s="1202" customFormat="1" ht="18.75" customHeight="1">
      <c r="A10" s="1935" t="s">
        <v>3516</v>
      </c>
      <c r="B10" s="1953" t="s">
        <v>3517</v>
      </c>
    </row>
    <row r="11" spans="1:2" s="1202" customFormat="1" ht="70.5" customHeight="1">
      <c r="A11" s="1939" t="s">
        <v>3525</v>
      </c>
      <c r="B11" s="1957" t="s">
        <v>3526</v>
      </c>
    </row>
    <row r="12" spans="1:2" s="1202" customFormat="1" ht="96" customHeight="1">
      <c r="A12" s="1956" t="s">
        <v>3527</v>
      </c>
      <c r="B12" s="1957" t="s">
        <v>3560</v>
      </c>
    </row>
    <row r="13" spans="1:2" s="1202" customFormat="1" ht="70.5" customHeight="1">
      <c r="A13" s="1939" t="s">
        <v>3386</v>
      </c>
      <c r="B13" s="1957" t="s">
        <v>3528</v>
      </c>
    </row>
    <row r="14" spans="1:2" s="1202" customFormat="1" ht="117.75" customHeight="1">
      <c r="A14" s="1956" t="s">
        <v>3529</v>
      </c>
      <c r="B14" s="1957" t="s">
        <v>3530</v>
      </c>
    </row>
    <row r="15" spans="1:2" s="1202" customFormat="1" ht="92.25" customHeight="1">
      <c r="A15" s="1956" t="s">
        <v>3531</v>
      </c>
      <c r="B15" s="1957" t="s">
        <v>3561</v>
      </c>
    </row>
    <row r="16" spans="1:2" s="1202" customFormat="1" ht="80.25" customHeight="1">
      <c r="A16" s="1956" t="s">
        <v>3532</v>
      </c>
      <c r="B16" s="1957" t="s">
        <v>3533</v>
      </c>
    </row>
    <row r="17" spans="1:2" s="1202" customFormat="1" ht="45" customHeight="1">
      <c r="A17" s="1939" t="s">
        <v>3534</v>
      </c>
      <c r="B17" s="1957" t="s">
        <v>3535</v>
      </c>
    </row>
    <row r="18" spans="1:2" s="1202" customFormat="1" ht="55.5" customHeight="1" thickBot="1">
      <c r="A18" s="1956" t="s">
        <v>3536</v>
      </c>
      <c r="B18" s="1957" t="s">
        <v>3537</v>
      </c>
    </row>
    <row r="19" spans="1:2" s="1202" customFormat="1" ht="18.75" customHeight="1">
      <c r="A19" s="1935" t="s">
        <v>3516</v>
      </c>
      <c r="B19" s="1953" t="s">
        <v>3517</v>
      </c>
    </row>
    <row r="20" spans="1:2" s="1202" customFormat="1" ht="100.5" customHeight="1">
      <c r="A20" s="1956" t="s">
        <v>3538</v>
      </c>
      <c r="B20" s="1957" t="s">
        <v>3562</v>
      </c>
    </row>
    <row r="21" spans="1:2" s="1202" customFormat="1" ht="76.5" customHeight="1">
      <c r="A21" s="1956" t="s">
        <v>3539</v>
      </c>
      <c r="B21" s="1957" t="s">
        <v>3563</v>
      </c>
    </row>
    <row r="22" spans="1:2" s="1202" customFormat="1" ht="70.5" customHeight="1">
      <c r="A22" s="1956" t="s">
        <v>3540</v>
      </c>
      <c r="B22" s="1957" t="s">
        <v>3541</v>
      </c>
    </row>
    <row r="23" spans="1:2" s="1202" customFormat="1" ht="85.5" customHeight="1">
      <c r="A23" s="1939" t="s">
        <v>3542</v>
      </c>
      <c r="B23" s="1957" t="s">
        <v>3543</v>
      </c>
    </row>
    <row r="24" spans="1:2" s="1202" customFormat="1" ht="69" customHeight="1">
      <c r="A24" s="1958" t="s">
        <v>3544</v>
      </c>
      <c r="B24" s="1959" t="s">
        <v>3545</v>
      </c>
    </row>
    <row r="25" spans="1:2" s="1202" customFormat="1" ht="86.25" customHeight="1">
      <c r="A25" s="1956" t="s">
        <v>3546</v>
      </c>
      <c r="B25" s="1959" t="s">
        <v>3564</v>
      </c>
    </row>
    <row r="26" spans="1:2" s="1202" customFormat="1" ht="84.75" customHeight="1">
      <c r="A26" s="1956" t="s">
        <v>3547</v>
      </c>
      <c r="B26" s="1957" t="s">
        <v>3565</v>
      </c>
    </row>
    <row r="27" spans="1:2" s="1202" customFormat="1" ht="142.5" customHeight="1" thickBot="1">
      <c r="A27" s="1956" t="s">
        <v>3548</v>
      </c>
      <c r="B27" s="1957" t="s">
        <v>3566</v>
      </c>
    </row>
    <row r="28" spans="1:2" s="1202" customFormat="1" ht="18.75" customHeight="1">
      <c r="A28" s="1935" t="s">
        <v>3516</v>
      </c>
      <c r="B28" s="1953" t="s">
        <v>3517</v>
      </c>
    </row>
    <row r="29" spans="1:2" s="1202" customFormat="1" ht="94.5" customHeight="1">
      <c r="A29" s="1956" t="s">
        <v>3549</v>
      </c>
      <c r="B29" s="1957" t="s">
        <v>3567</v>
      </c>
    </row>
    <row r="30" spans="1:2" s="1202" customFormat="1" ht="55.5" customHeight="1">
      <c r="A30" s="1956" t="s">
        <v>3550</v>
      </c>
      <c r="B30" s="1957" t="s">
        <v>3551</v>
      </c>
    </row>
    <row r="31" spans="1:2" s="1202" customFormat="1" ht="80.25" customHeight="1">
      <c r="A31" s="1956" t="s">
        <v>3552</v>
      </c>
      <c r="B31" s="1957" t="s">
        <v>3568</v>
      </c>
    </row>
    <row r="32" spans="1:2" s="1202" customFormat="1" ht="70.5" customHeight="1" thickBot="1">
      <c r="A32" s="1960" t="s">
        <v>3553</v>
      </c>
      <c r="B32" s="1961" t="s">
        <v>3569</v>
      </c>
    </row>
    <row r="33" spans="1:2" s="1955" customFormat="1">
      <c r="A33" s="1952" t="s">
        <v>3719</v>
      </c>
      <c r="B33" s="1952"/>
    </row>
    <row r="34" spans="1:2" s="1955" customFormat="1">
      <c r="B34" s="1954"/>
    </row>
    <row r="35" spans="1:2" s="1955" customFormat="1">
      <c r="B35" s="1954"/>
    </row>
    <row r="36" spans="1:2" s="1955" customFormat="1">
      <c r="B36" s="1954"/>
    </row>
    <row r="37" spans="1:2" s="1955" customFormat="1">
      <c r="B37" s="1954"/>
    </row>
    <row r="38" spans="1:2" s="1955" customFormat="1">
      <c r="B38" s="1954"/>
    </row>
    <row r="39" spans="1:2" s="1955" customFormat="1">
      <c r="B39" s="1954"/>
    </row>
    <row r="40" spans="1:2" s="1955" customFormat="1">
      <c r="B40" s="1954"/>
    </row>
    <row r="41" spans="1:2" s="1955" customFormat="1">
      <c r="B41" s="1954"/>
    </row>
    <row r="42" spans="1:2" s="1955" customFormat="1">
      <c r="B42" s="1954"/>
    </row>
    <row r="43" spans="1:2" s="1955" customFormat="1">
      <c r="B43" s="1954"/>
    </row>
    <row r="44" spans="1:2" s="1955" customFormat="1">
      <c r="B44" s="1954"/>
    </row>
    <row r="45" spans="1:2" s="1955" customFormat="1">
      <c r="B45" s="1954"/>
    </row>
    <row r="46" spans="1:2" s="1955" customFormat="1">
      <c r="B46" s="1954"/>
    </row>
    <row r="47" spans="1:2" s="1955" customFormat="1">
      <c r="B47" s="1954"/>
    </row>
    <row r="48" spans="1:2" s="1955" customFormat="1">
      <c r="B48" s="1954"/>
    </row>
    <row r="49" spans="2:2" s="1955" customFormat="1">
      <c r="B49" s="1954"/>
    </row>
    <row r="50" spans="2:2" s="1955" customFormat="1">
      <c r="B50" s="1954"/>
    </row>
    <row r="51" spans="2:2" s="1955" customFormat="1">
      <c r="B51" s="1954"/>
    </row>
    <row r="52" spans="2:2" s="1955" customFormat="1">
      <c r="B52" s="1954"/>
    </row>
    <row r="53" spans="2:2" s="1955" customFormat="1">
      <c r="B53" s="1954"/>
    </row>
    <row r="54" spans="2:2" s="1955" customFormat="1">
      <c r="B54" s="1954"/>
    </row>
    <row r="55" spans="2:2" s="1955" customFormat="1">
      <c r="B55" s="1954"/>
    </row>
    <row r="56" spans="2:2" s="1955" customFormat="1"/>
    <row r="57" spans="2:2" s="1955" customFormat="1"/>
    <row r="58" spans="2:2" s="1955" customFormat="1"/>
    <row r="59" spans="2:2" s="1955" customFormat="1"/>
    <row r="60" spans="2:2" s="1955" customFormat="1"/>
    <row r="61" spans="2:2" s="1955" customFormat="1"/>
    <row r="62" spans="2:2" s="1955" customFormat="1"/>
    <row r="63" spans="2:2" s="1955" customFormat="1"/>
    <row r="64" spans="2:2" s="1955" customFormat="1"/>
    <row r="65" s="1955" customFormat="1"/>
    <row r="66" s="1955" customFormat="1"/>
    <row r="67" s="1955" customFormat="1"/>
    <row r="68" s="1955" customFormat="1"/>
    <row r="69" s="1955" customFormat="1"/>
    <row r="70" s="1955" customFormat="1"/>
    <row r="71" s="1955" customFormat="1"/>
    <row r="72" s="1955" customFormat="1"/>
    <row r="73" s="1955" customFormat="1"/>
    <row r="74" s="1955" customFormat="1"/>
    <row r="75" s="1955" customFormat="1"/>
    <row r="76" s="1955" customFormat="1"/>
    <row r="77" s="1955" customFormat="1"/>
    <row r="78" s="1955" customFormat="1"/>
    <row r="79" s="1955" customFormat="1"/>
    <row r="80" s="1955" customFormat="1"/>
    <row r="81" s="1955" customFormat="1"/>
    <row r="82" s="1955" customFormat="1"/>
    <row r="83" s="1955" customFormat="1"/>
    <row r="84" s="1955" customFormat="1"/>
    <row r="85" s="1955" customFormat="1"/>
    <row r="86" s="1955" customFormat="1"/>
    <row r="87" s="1955" customFormat="1"/>
    <row r="88" s="1955" customFormat="1"/>
    <row r="89" s="1955" customFormat="1"/>
    <row r="90" s="1955" customFormat="1"/>
    <row r="91" s="1955" customFormat="1"/>
    <row r="92" s="1955" customFormat="1"/>
    <row r="93" s="1955" customFormat="1"/>
    <row r="94" s="1955" customFormat="1"/>
    <row r="95" s="1955" customFormat="1"/>
    <row r="96" s="1955" customFormat="1"/>
    <row r="97" spans="1:2" s="1955" customFormat="1">
      <c r="A97" s="1952"/>
      <c r="B97" s="1952"/>
    </row>
    <row r="98" spans="1:2" s="1955" customFormat="1">
      <c r="A98" s="1952"/>
      <c r="B98" s="1952"/>
    </row>
    <row r="99" spans="1:2" s="1955" customFormat="1">
      <c r="A99" s="1952"/>
      <c r="B99" s="1952"/>
    </row>
  </sheetData>
  <phoneticPr fontId="4"/>
  <pageMargins left="0.7" right="0.7" top="0.75" bottom="0.75" header="0.3" footer="0.3"/>
  <pageSetup paperSize="9" scale="97" fitToHeight="0"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893D5-D1D6-4248-BD9F-34CE0C4AECFC}">
  <sheetPr codeName="Sheet83"/>
  <dimension ref="A1:A2"/>
  <sheetViews>
    <sheetView zoomScaleNormal="100" workbookViewId="0"/>
  </sheetViews>
  <sheetFormatPr defaultRowHeight="18"/>
  <cols>
    <col min="1" max="1" width="73.19921875" customWidth="1"/>
  </cols>
  <sheetData>
    <row r="1" spans="1:1" ht="30" customHeight="1" thickBot="1">
      <c r="A1" s="342" t="s">
        <v>1988</v>
      </c>
    </row>
    <row r="2" spans="1:1" ht="409.5" customHeight="1" thickBot="1">
      <c r="A2" s="2146" t="s">
        <v>1989</v>
      </c>
    </row>
  </sheetData>
  <phoneticPr fontId="4"/>
  <printOptions horizontalCentered="1"/>
  <pageMargins left="0.78740157480314965" right="0.78740157480314965" top="0.98425196850393704" bottom="0.98425196850393704" header="0.31496062992125984" footer="0.31496062992125984"/>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95EA1-DF29-4437-9802-94CE249C4CCA}">
  <sheetPr codeName="Sheet84">
    <pageSetUpPr fitToPage="1"/>
  </sheetPr>
  <dimension ref="A1:E49"/>
  <sheetViews>
    <sheetView zoomScaleNormal="100" workbookViewId="0">
      <selection activeCell="B1" sqref="B1"/>
    </sheetView>
  </sheetViews>
  <sheetFormatPr defaultColWidth="9" defaultRowHeight="13.2"/>
  <cols>
    <col min="1" max="1" width="5.09765625" style="2" customWidth="1"/>
    <col min="2" max="2" width="13.19921875" style="2" customWidth="1"/>
    <col min="3" max="3" width="18.69921875" style="2" customWidth="1"/>
    <col min="4" max="4" width="13" style="2" customWidth="1"/>
    <col min="5" max="5" width="33.59765625" style="2" customWidth="1"/>
    <col min="6" max="16384" width="9" style="2"/>
  </cols>
  <sheetData>
    <row r="1" spans="1:5" ht="30" customHeight="1" thickBot="1">
      <c r="A1" s="259" t="s">
        <v>1990</v>
      </c>
    </row>
    <row r="2" spans="1:5" ht="17.100000000000001" customHeight="1">
      <c r="A2" s="1015"/>
      <c r="B2" s="447" t="s">
        <v>1991</v>
      </c>
      <c r="C2" s="447" t="s">
        <v>1992</v>
      </c>
      <c r="D2" s="447" t="s">
        <v>1993</v>
      </c>
      <c r="E2" s="249" t="s">
        <v>1994</v>
      </c>
    </row>
    <row r="3" spans="1:5" ht="17.100000000000001" customHeight="1">
      <c r="A3" s="131">
        <v>1</v>
      </c>
      <c r="B3" s="130" t="s">
        <v>1995</v>
      </c>
      <c r="C3" s="130" t="s">
        <v>1996</v>
      </c>
      <c r="D3" s="1020">
        <v>3180</v>
      </c>
      <c r="E3" s="1016" t="s">
        <v>1997</v>
      </c>
    </row>
    <row r="4" spans="1:5" ht="17.100000000000001" customHeight="1">
      <c r="A4" s="131">
        <v>2</v>
      </c>
      <c r="B4" s="130" t="s">
        <v>1998</v>
      </c>
      <c r="C4" s="130" t="s">
        <v>1999</v>
      </c>
      <c r="D4" s="1020">
        <v>2924</v>
      </c>
      <c r="E4" s="1016" t="s">
        <v>2000</v>
      </c>
    </row>
    <row r="5" spans="1:5" ht="17.100000000000001" customHeight="1">
      <c r="A5" s="243">
        <v>3</v>
      </c>
      <c r="B5" s="245" t="s">
        <v>2001</v>
      </c>
      <c r="C5" s="245" t="s">
        <v>2002</v>
      </c>
      <c r="D5" s="1021">
        <v>2924</v>
      </c>
      <c r="E5" s="85" t="s">
        <v>2000</v>
      </c>
    </row>
    <row r="6" spans="1:5" ht="17.100000000000001" customHeight="1">
      <c r="A6" s="513">
        <v>4</v>
      </c>
      <c r="B6" s="245" t="s">
        <v>2003</v>
      </c>
      <c r="C6" s="513" t="s">
        <v>2004</v>
      </c>
      <c r="D6" s="1021">
        <v>2922</v>
      </c>
      <c r="E6" s="85" t="s">
        <v>2005</v>
      </c>
    </row>
    <row r="7" spans="1:5" ht="17.100000000000001" customHeight="1">
      <c r="A7" s="254"/>
      <c r="B7" s="246"/>
      <c r="C7" s="254" t="s">
        <v>2006</v>
      </c>
      <c r="D7" s="1022"/>
      <c r="E7" s="1017"/>
    </row>
    <row r="8" spans="1:5" ht="17.100000000000001" customHeight="1">
      <c r="A8" s="244">
        <v>5</v>
      </c>
      <c r="B8" s="246" t="s">
        <v>2007</v>
      </c>
      <c r="C8" s="246" t="s">
        <v>2008</v>
      </c>
      <c r="D8" s="1022">
        <v>2889</v>
      </c>
      <c r="E8" s="1017" t="s">
        <v>2009</v>
      </c>
    </row>
    <row r="9" spans="1:5" ht="17.100000000000001" customHeight="1">
      <c r="A9" s="131">
        <v>6</v>
      </c>
      <c r="B9" s="130" t="s">
        <v>2010</v>
      </c>
      <c r="C9" s="130" t="s">
        <v>2011</v>
      </c>
      <c r="D9" s="1020">
        <v>2888</v>
      </c>
      <c r="E9" s="1016" t="s">
        <v>2092</v>
      </c>
    </row>
    <row r="10" spans="1:5" ht="17.100000000000001" customHeight="1">
      <c r="A10" s="131">
        <v>7</v>
      </c>
      <c r="B10" s="130" t="s">
        <v>2012</v>
      </c>
      <c r="C10" s="130" t="s">
        <v>2013</v>
      </c>
      <c r="D10" s="1020">
        <v>2861</v>
      </c>
      <c r="E10" s="1016" t="s">
        <v>2014</v>
      </c>
    </row>
    <row r="11" spans="1:5" ht="17.100000000000001" customHeight="1">
      <c r="A11" s="131">
        <v>8</v>
      </c>
      <c r="B11" s="130" t="s">
        <v>2015</v>
      </c>
      <c r="C11" s="130" t="s">
        <v>2016</v>
      </c>
      <c r="D11" s="1020">
        <v>2860</v>
      </c>
      <c r="E11" s="1016" t="s">
        <v>2017</v>
      </c>
    </row>
    <row r="12" spans="1:5" ht="17.100000000000001" customHeight="1">
      <c r="A12" s="131">
        <v>9</v>
      </c>
      <c r="B12" s="130" t="s">
        <v>2018</v>
      </c>
      <c r="C12" s="130" t="s">
        <v>2019</v>
      </c>
      <c r="D12" s="1020">
        <v>2845</v>
      </c>
      <c r="E12" s="1016" t="s">
        <v>2000</v>
      </c>
    </row>
    <row r="13" spans="1:5" ht="17.100000000000001" customHeight="1">
      <c r="A13" s="131">
        <v>10</v>
      </c>
      <c r="B13" s="130" t="s">
        <v>2020</v>
      </c>
      <c r="C13" s="130" t="s">
        <v>2021</v>
      </c>
      <c r="D13" s="1020">
        <v>2841</v>
      </c>
      <c r="E13" s="1016" t="s">
        <v>2022</v>
      </c>
    </row>
    <row r="14" spans="1:5" ht="17.100000000000001" customHeight="1">
      <c r="A14" s="131">
        <v>11</v>
      </c>
      <c r="B14" s="130" t="s">
        <v>2023</v>
      </c>
      <c r="C14" s="130" t="s">
        <v>2024</v>
      </c>
      <c r="D14" s="1020">
        <v>2821</v>
      </c>
      <c r="E14" s="1016" t="s">
        <v>2025</v>
      </c>
    </row>
    <row r="15" spans="1:5" ht="17.100000000000001" customHeight="1">
      <c r="A15" s="131">
        <v>12</v>
      </c>
      <c r="B15" s="130" t="s">
        <v>2026</v>
      </c>
      <c r="C15" s="130" t="s">
        <v>2027</v>
      </c>
      <c r="D15" s="1020">
        <v>2814</v>
      </c>
      <c r="E15" s="1016" t="s">
        <v>2028</v>
      </c>
    </row>
    <row r="16" spans="1:5" ht="17.100000000000001" customHeight="1">
      <c r="A16" s="131">
        <v>13</v>
      </c>
      <c r="B16" s="130" t="s">
        <v>2029</v>
      </c>
      <c r="C16" s="130" t="s">
        <v>2030</v>
      </c>
      <c r="D16" s="1020">
        <v>2799</v>
      </c>
      <c r="E16" s="1016" t="s">
        <v>2025</v>
      </c>
    </row>
    <row r="17" spans="1:5" ht="17.100000000000001" customHeight="1">
      <c r="A17" s="131">
        <v>14</v>
      </c>
      <c r="B17" s="130" t="s">
        <v>2031</v>
      </c>
      <c r="C17" s="130" t="s">
        <v>2032</v>
      </c>
      <c r="D17" s="1020">
        <v>2769</v>
      </c>
      <c r="E17" s="1016" t="s">
        <v>2033</v>
      </c>
    </row>
    <row r="18" spans="1:5" ht="17.100000000000001" customHeight="1">
      <c r="A18" s="131">
        <v>15</v>
      </c>
      <c r="B18" s="130" t="s">
        <v>2034</v>
      </c>
      <c r="C18" s="130" t="s">
        <v>2035</v>
      </c>
      <c r="D18" s="1020">
        <v>2763</v>
      </c>
      <c r="E18" s="1016" t="s">
        <v>2036</v>
      </c>
    </row>
    <row r="19" spans="1:5" ht="17.100000000000001" customHeight="1">
      <c r="A19" s="131">
        <v>16</v>
      </c>
      <c r="B19" s="130" t="s">
        <v>2037</v>
      </c>
      <c r="C19" s="130" t="s">
        <v>2038</v>
      </c>
      <c r="D19" s="1020">
        <v>2758</v>
      </c>
      <c r="E19" s="1016" t="s">
        <v>2033</v>
      </c>
    </row>
    <row r="20" spans="1:5" ht="17.100000000000001" customHeight="1">
      <c r="A20" s="131">
        <v>17</v>
      </c>
      <c r="B20" s="130" t="s">
        <v>2039</v>
      </c>
      <c r="C20" s="130" t="s">
        <v>2040</v>
      </c>
      <c r="D20" s="1020">
        <v>2755</v>
      </c>
      <c r="E20" s="1016" t="s">
        <v>2041</v>
      </c>
    </row>
    <row r="21" spans="1:5" ht="17.100000000000001" customHeight="1">
      <c r="A21" s="131">
        <v>18</v>
      </c>
      <c r="B21" s="130" t="s">
        <v>2042</v>
      </c>
      <c r="C21" s="130" t="s">
        <v>2043</v>
      </c>
      <c r="D21" s="1020">
        <v>2752</v>
      </c>
      <c r="E21" s="1016" t="s">
        <v>2025</v>
      </c>
    </row>
    <row r="22" spans="1:5" ht="17.100000000000001" customHeight="1">
      <c r="A22" s="131">
        <v>19</v>
      </c>
      <c r="B22" s="130" t="s">
        <v>2044</v>
      </c>
      <c r="C22" s="130" t="s">
        <v>2045</v>
      </c>
      <c r="D22" s="1020">
        <v>2713</v>
      </c>
      <c r="E22" s="1016" t="s">
        <v>472</v>
      </c>
    </row>
    <row r="23" spans="1:5" ht="17.100000000000001" customHeight="1">
      <c r="A23" s="131">
        <v>20</v>
      </c>
      <c r="B23" s="130" t="s">
        <v>2046</v>
      </c>
      <c r="C23" s="130" t="s">
        <v>2047</v>
      </c>
      <c r="D23" s="1020">
        <v>2683</v>
      </c>
      <c r="E23" s="1016" t="s">
        <v>2093</v>
      </c>
    </row>
    <row r="24" spans="1:5" ht="17.100000000000001" customHeight="1">
      <c r="A24" s="131">
        <v>21</v>
      </c>
      <c r="B24" s="130" t="s">
        <v>2048</v>
      </c>
      <c r="C24" s="130" t="s">
        <v>2049</v>
      </c>
      <c r="D24" s="1020">
        <v>2678</v>
      </c>
      <c r="E24" s="1016" t="s">
        <v>2025</v>
      </c>
    </row>
    <row r="25" spans="1:5" ht="17.100000000000001" customHeight="1">
      <c r="A25" s="131">
        <v>22</v>
      </c>
      <c r="B25" s="130" t="s">
        <v>2050</v>
      </c>
      <c r="C25" s="130" t="s">
        <v>2051</v>
      </c>
      <c r="D25" s="1020">
        <v>2670</v>
      </c>
      <c r="E25" s="1016" t="s">
        <v>2025</v>
      </c>
    </row>
    <row r="26" spans="1:5" ht="17.100000000000001" customHeight="1">
      <c r="A26" s="131">
        <v>23</v>
      </c>
      <c r="B26" s="130" t="s">
        <v>2052</v>
      </c>
      <c r="C26" s="130" t="s">
        <v>2053</v>
      </c>
      <c r="D26" s="1020">
        <v>2647</v>
      </c>
      <c r="E26" s="1016" t="s">
        <v>472</v>
      </c>
    </row>
    <row r="27" spans="1:5" ht="17.100000000000001" customHeight="1">
      <c r="A27" s="131">
        <v>24</v>
      </c>
      <c r="B27" s="130" t="s">
        <v>2054</v>
      </c>
      <c r="C27" s="130" t="s">
        <v>2055</v>
      </c>
      <c r="D27" s="1020">
        <v>2641</v>
      </c>
      <c r="E27" s="1016" t="s">
        <v>2025</v>
      </c>
    </row>
    <row r="28" spans="1:5" ht="17.100000000000001" customHeight="1">
      <c r="A28" s="131">
        <v>25</v>
      </c>
      <c r="B28" s="130" t="s">
        <v>2056</v>
      </c>
      <c r="C28" s="130" t="s">
        <v>2057</v>
      </c>
      <c r="D28" s="1020">
        <v>2633</v>
      </c>
      <c r="E28" s="1016" t="s">
        <v>472</v>
      </c>
    </row>
    <row r="29" spans="1:5" ht="17.100000000000001" customHeight="1">
      <c r="A29" s="131">
        <v>26</v>
      </c>
      <c r="B29" s="130" t="s">
        <v>2058</v>
      </c>
      <c r="C29" s="130" t="s">
        <v>2059</v>
      </c>
      <c r="D29" s="1020">
        <v>2630</v>
      </c>
      <c r="E29" s="1016" t="s">
        <v>2025</v>
      </c>
    </row>
    <row r="30" spans="1:5" ht="17.100000000000001" customHeight="1">
      <c r="A30" s="131">
        <v>27</v>
      </c>
      <c r="B30" s="130" t="s">
        <v>2060</v>
      </c>
      <c r="C30" s="130" t="s">
        <v>2061</v>
      </c>
      <c r="D30" s="1020">
        <v>2628</v>
      </c>
      <c r="E30" s="1016" t="s">
        <v>2062</v>
      </c>
    </row>
    <row r="31" spans="1:5" ht="17.100000000000001" customHeight="1">
      <c r="A31" s="131">
        <v>28</v>
      </c>
      <c r="B31" s="130" t="s">
        <v>2063</v>
      </c>
      <c r="C31" s="130" t="s">
        <v>2064</v>
      </c>
      <c r="D31" s="1020">
        <v>2626</v>
      </c>
      <c r="E31" s="1016" t="s">
        <v>2025</v>
      </c>
    </row>
    <row r="32" spans="1:5" ht="17.100000000000001" customHeight="1">
      <c r="A32" s="131">
        <v>29</v>
      </c>
      <c r="B32" s="130" t="s">
        <v>2065</v>
      </c>
      <c r="C32" s="130" t="s">
        <v>2066</v>
      </c>
      <c r="D32" s="1020">
        <v>2601</v>
      </c>
      <c r="E32" s="1016" t="s">
        <v>2025</v>
      </c>
    </row>
    <row r="33" spans="1:5" ht="17.100000000000001" customHeight="1">
      <c r="A33" s="131">
        <v>30</v>
      </c>
      <c r="B33" s="130" t="s">
        <v>2067</v>
      </c>
      <c r="C33" s="130" t="s">
        <v>2068</v>
      </c>
      <c r="D33" s="1020">
        <v>2554</v>
      </c>
      <c r="E33" s="1016" t="s">
        <v>472</v>
      </c>
    </row>
    <row r="34" spans="1:5" ht="17.100000000000001" customHeight="1">
      <c r="A34" s="131">
        <v>31</v>
      </c>
      <c r="B34" s="130" t="s">
        <v>2069</v>
      </c>
      <c r="C34" s="130" t="s">
        <v>2070</v>
      </c>
      <c r="D34" s="1020">
        <v>2553</v>
      </c>
      <c r="E34" s="1016" t="s">
        <v>2080</v>
      </c>
    </row>
    <row r="35" spans="1:5" ht="17.100000000000001" customHeight="1">
      <c r="A35" s="131">
        <v>32</v>
      </c>
      <c r="B35" s="130" t="s">
        <v>2071</v>
      </c>
      <c r="C35" s="130" t="s">
        <v>2072</v>
      </c>
      <c r="D35" s="1020">
        <v>2551</v>
      </c>
      <c r="E35" s="1016" t="s">
        <v>2062</v>
      </c>
    </row>
    <row r="36" spans="1:5" ht="17.100000000000001" customHeight="1">
      <c r="A36" s="131">
        <v>33</v>
      </c>
      <c r="B36" s="130" t="s">
        <v>2073</v>
      </c>
      <c r="C36" s="130" t="s">
        <v>2074</v>
      </c>
      <c r="D36" s="1020">
        <v>2541</v>
      </c>
      <c r="E36" s="1016" t="s">
        <v>2094</v>
      </c>
    </row>
    <row r="37" spans="1:5" ht="17.100000000000001" customHeight="1">
      <c r="A37" s="131">
        <v>34</v>
      </c>
      <c r="B37" s="130" t="s">
        <v>2075</v>
      </c>
      <c r="C37" s="130" t="s">
        <v>2076</v>
      </c>
      <c r="D37" s="1020">
        <v>2509</v>
      </c>
      <c r="E37" s="1016" t="s">
        <v>2077</v>
      </c>
    </row>
    <row r="38" spans="1:5" ht="17.100000000000001" customHeight="1">
      <c r="A38" s="131">
        <v>35</v>
      </c>
      <c r="B38" s="130" t="s">
        <v>2078</v>
      </c>
      <c r="C38" s="130" t="s">
        <v>2079</v>
      </c>
      <c r="D38" s="1020">
        <v>2497</v>
      </c>
      <c r="E38" s="1016" t="s">
        <v>2080</v>
      </c>
    </row>
    <row r="39" spans="1:5" ht="17.100000000000001" customHeight="1">
      <c r="A39" s="131">
        <v>36</v>
      </c>
      <c r="B39" s="130" t="s">
        <v>2081</v>
      </c>
      <c r="C39" s="130" t="s">
        <v>2082</v>
      </c>
      <c r="D39" s="1020">
        <v>2490</v>
      </c>
      <c r="E39" s="1016" t="s">
        <v>2083</v>
      </c>
    </row>
    <row r="40" spans="1:5" ht="17.100000000000001" customHeight="1">
      <c r="A40" s="131">
        <v>37</v>
      </c>
      <c r="B40" s="130" t="s">
        <v>2084</v>
      </c>
      <c r="C40" s="130" t="s">
        <v>2085</v>
      </c>
      <c r="D40" s="1020">
        <v>2459</v>
      </c>
      <c r="E40" s="1016" t="s">
        <v>2086</v>
      </c>
    </row>
    <row r="41" spans="1:5" ht="17.100000000000001" customHeight="1" thickBot="1">
      <c r="A41" s="203">
        <v>38</v>
      </c>
      <c r="B41" s="1018" t="s">
        <v>2087</v>
      </c>
      <c r="C41" s="1018" t="s">
        <v>2088</v>
      </c>
      <c r="D41" s="1023">
        <v>2416</v>
      </c>
      <c r="E41" s="1019" t="s">
        <v>2080</v>
      </c>
    </row>
    <row r="42" spans="1:5" ht="6" customHeight="1">
      <c r="A42" s="11"/>
      <c r="B42" s="11"/>
      <c r="C42" s="11"/>
      <c r="D42" s="11"/>
      <c r="E42" s="11"/>
    </row>
    <row r="43" spans="1:5">
      <c r="A43" s="11" t="s">
        <v>2089</v>
      </c>
      <c r="B43" s="11"/>
      <c r="C43" s="11"/>
      <c r="D43" s="11"/>
      <c r="E43" s="11"/>
    </row>
    <row r="44" spans="1:5" ht="5.25" customHeight="1">
      <c r="A44" s="11"/>
      <c r="B44" s="11"/>
      <c r="C44" s="11"/>
      <c r="D44" s="11"/>
      <c r="E44" s="11"/>
    </row>
    <row r="45" spans="1:5">
      <c r="A45" s="11" t="s">
        <v>2090</v>
      </c>
      <c r="B45" s="11"/>
      <c r="C45" s="11"/>
      <c r="D45" s="11"/>
      <c r="E45" s="11"/>
    </row>
    <row r="46" spans="1:5" ht="5.25" customHeight="1">
      <c r="A46" s="11"/>
      <c r="B46" s="11"/>
      <c r="C46" s="11"/>
      <c r="D46" s="11"/>
      <c r="E46" s="11"/>
    </row>
    <row r="47" spans="1:5">
      <c r="A47" s="11" t="s">
        <v>2095</v>
      </c>
      <c r="B47" s="11"/>
      <c r="C47" s="11"/>
      <c r="D47" s="11"/>
      <c r="E47" s="11"/>
    </row>
    <row r="48" spans="1:5" ht="5.25" customHeight="1">
      <c r="A48" s="11"/>
      <c r="B48" s="11"/>
      <c r="C48" s="11"/>
      <c r="D48" s="11"/>
      <c r="E48" s="11"/>
    </row>
    <row r="49" spans="1:5">
      <c r="A49" s="11" t="s">
        <v>2091</v>
      </c>
      <c r="B49" s="11"/>
      <c r="C49" s="11"/>
      <c r="D49" s="11"/>
      <c r="E49" s="11"/>
    </row>
  </sheetData>
  <phoneticPr fontId="4"/>
  <printOptions horizontalCentered="1"/>
  <pageMargins left="0.78740157480314965" right="0.78740157480314965" top="0.98425196850393704" bottom="0.70866141732283472" header="0.51181102362204722" footer="0.51181102362204722"/>
  <pageSetup paperSize="9" scale="87" orientation="portrait" r:id="rId1"/>
  <headerFooter alignWithMargins="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D4DBB-8EA4-43D7-A34B-4D67D6B2BCC1}">
  <sheetPr codeName="Sheet85">
    <pageSetUpPr fitToPage="1"/>
  </sheetPr>
  <dimension ref="A1:AC143"/>
  <sheetViews>
    <sheetView view="pageBreakPreview" topLeftCell="B1" zoomScaleNormal="70" zoomScaleSheetLayoutView="100" workbookViewId="0">
      <selection activeCell="C2" sqref="C2"/>
    </sheetView>
  </sheetViews>
  <sheetFormatPr defaultColWidth="9" defaultRowHeight="14.4"/>
  <cols>
    <col min="1" max="1" width="6.69921875" style="1024" customWidth="1"/>
    <col min="2" max="7" width="3.3984375" style="1024" customWidth="1"/>
    <col min="8" max="8" width="15.59765625" style="1024" customWidth="1"/>
    <col min="9" max="9" width="5.59765625" style="1024" customWidth="1"/>
    <col min="10" max="11" width="2.09765625" style="1024" customWidth="1"/>
    <col min="12" max="12" width="3.59765625" style="1024" customWidth="1"/>
    <col min="13" max="13" width="25.59765625" style="1024" customWidth="1"/>
    <col min="14" max="14" width="3.59765625" style="1024" customWidth="1"/>
    <col min="15" max="15" width="3.69921875" style="1024" customWidth="1"/>
    <col min="16" max="16" width="4.59765625" style="1024" customWidth="1"/>
    <col min="17" max="18" width="8.09765625" style="1024" customWidth="1"/>
    <col min="19" max="19" width="4.59765625" style="1024" customWidth="1"/>
    <col min="20" max="20" width="3.8984375" style="1024" customWidth="1"/>
    <col min="21" max="29" width="8.09765625" style="1024" customWidth="1"/>
    <col min="30" max="30" width="3" style="1024" customWidth="1"/>
    <col min="31" max="16384" width="9" style="1024"/>
  </cols>
  <sheetData>
    <row r="1" spans="1:29" ht="15" customHeight="1">
      <c r="Z1" s="2763"/>
      <c r="AA1" s="2763"/>
      <c r="AB1" s="2763"/>
      <c r="AC1" s="2763"/>
    </row>
    <row r="2" spans="1:29" ht="42" customHeight="1">
      <c r="A2" s="1025" t="s">
        <v>2096</v>
      </c>
      <c r="B2" s="1025"/>
      <c r="C2" s="1025"/>
      <c r="D2" s="1025"/>
      <c r="E2" s="1025"/>
      <c r="F2" s="1025"/>
      <c r="G2" s="1025"/>
      <c r="H2" s="1025"/>
      <c r="I2" s="1025"/>
      <c r="J2" s="1025"/>
      <c r="K2" s="1025"/>
      <c r="L2" s="1025"/>
      <c r="M2" s="1025"/>
      <c r="N2" s="1025"/>
      <c r="O2" s="1025"/>
      <c r="P2" s="1025"/>
      <c r="Q2" s="1025"/>
      <c r="R2" s="1025"/>
      <c r="S2" s="1025"/>
      <c r="T2" s="1025"/>
      <c r="U2" s="1025"/>
      <c r="V2" s="1025"/>
      <c r="W2" s="1025"/>
      <c r="X2" s="1025"/>
      <c r="Y2" s="1025"/>
      <c r="Z2" s="1025"/>
      <c r="AA2" s="1025"/>
      <c r="AB2" s="1025"/>
      <c r="AC2" s="1025"/>
    </row>
    <row r="3" spans="1:29" ht="6" customHeight="1">
      <c r="H3" s="1026"/>
      <c r="I3" s="1026"/>
      <c r="J3" s="1026"/>
      <c r="K3" s="1026"/>
      <c r="L3" s="1026"/>
      <c r="M3" s="1026"/>
      <c r="N3" s="1026"/>
      <c r="O3" s="1026"/>
      <c r="P3" s="1026"/>
      <c r="Q3" s="1026"/>
      <c r="R3" s="1026"/>
      <c r="S3" s="1026"/>
      <c r="T3" s="1026"/>
      <c r="U3" s="1026"/>
      <c r="V3" s="1026"/>
      <c r="W3" s="1026"/>
      <c r="X3" s="1026"/>
      <c r="Y3" s="1026"/>
      <c r="Z3" s="1027"/>
      <c r="AA3" s="1027"/>
      <c r="AB3" s="1027"/>
      <c r="AC3" s="1027"/>
    </row>
    <row r="4" spans="1:29" ht="23.25" customHeight="1">
      <c r="H4" s="1026"/>
      <c r="I4" s="1026"/>
      <c r="J4" s="1026"/>
      <c r="K4" s="1026"/>
      <c r="L4" s="1026"/>
      <c r="M4" s="1026"/>
      <c r="N4" s="1026"/>
      <c r="O4" s="1026"/>
      <c r="P4" s="1026"/>
      <c r="Q4" s="1026"/>
      <c r="R4" s="1026"/>
      <c r="S4" s="1026"/>
      <c r="T4" s="1026"/>
      <c r="U4" s="1026"/>
      <c r="V4" s="1026"/>
      <c r="W4" s="1026"/>
      <c r="X4" s="1026"/>
      <c r="Y4" s="1026"/>
      <c r="Z4" s="1027"/>
      <c r="AA4" s="1027"/>
      <c r="AC4" s="1028" t="s">
        <v>2097</v>
      </c>
    </row>
    <row r="5" spans="1:29" ht="7.5" customHeight="1">
      <c r="A5" s="1029"/>
      <c r="B5" s="1029"/>
      <c r="C5" s="1029"/>
      <c r="D5" s="1029"/>
      <c r="E5" s="1029"/>
      <c r="F5" s="1029"/>
      <c r="G5" s="1029"/>
      <c r="H5" s="1029"/>
      <c r="I5" s="1029"/>
      <c r="J5" s="1029"/>
      <c r="K5" s="1029"/>
      <c r="L5" s="1029"/>
      <c r="M5" s="1029"/>
    </row>
    <row r="6" spans="1:29" ht="13.5" customHeight="1">
      <c r="A6" s="2764" t="s">
        <v>2098</v>
      </c>
      <c r="B6" s="1030"/>
      <c r="C6" s="1030"/>
      <c r="D6" s="2767" t="s">
        <v>2099</v>
      </c>
      <c r="E6" s="2768"/>
      <c r="F6" s="1030"/>
      <c r="G6" s="1030"/>
      <c r="H6" s="2773" t="s">
        <v>2100</v>
      </c>
      <c r="I6" s="2774"/>
      <c r="J6" s="1031"/>
      <c r="K6" s="1030"/>
      <c r="L6" s="1030"/>
      <c r="M6" s="2777" t="s">
        <v>2101</v>
      </c>
      <c r="N6" s="1032"/>
      <c r="O6" s="2779" t="s">
        <v>2180</v>
      </c>
      <c r="P6" s="2779"/>
      <c r="Q6" s="2779"/>
      <c r="R6" s="2779"/>
      <c r="S6" s="2779"/>
      <c r="T6" s="2779"/>
      <c r="U6" s="2779"/>
      <c r="V6" s="2779"/>
      <c r="W6" s="2779"/>
      <c r="X6" s="2779"/>
      <c r="Y6" s="2779"/>
      <c r="Z6" s="2779"/>
      <c r="AA6" s="2779"/>
      <c r="AB6" s="2779"/>
      <c r="AC6" s="2779"/>
    </row>
    <row r="7" spans="1:29" ht="13.5" customHeight="1">
      <c r="A7" s="2765"/>
      <c r="B7" s="1029"/>
      <c r="C7" s="1033"/>
      <c r="D7" s="2769"/>
      <c r="E7" s="2770"/>
      <c r="F7" s="1029"/>
      <c r="G7" s="1033"/>
      <c r="H7" s="2775"/>
      <c r="I7" s="2776"/>
      <c r="J7" s="1034"/>
      <c r="K7" s="1029"/>
      <c r="L7" s="1033"/>
      <c r="M7" s="2778"/>
      <c r="O7" s="2779"/>
      <c r="P7" s="2779"/>
      <c r="Q7" s="2779"/>
      <c r="R7" s="2779"/>
      <c r="S7" s="2779"/>
      <c r="T7" s="2779"/>
      <c r="U7" s="2779"/>
      <c r="V7" s="2779"/>
      <c r="W7" s="2779"/>
      <c r="X7" s="2779"/>
      <c r="Y7" s="2779"/>
      <c r="Z7" s="2779"/>
      <c r="AA7" s="2779"/>
      <c r="AB7" s="2779"/>
      <c r="AC7" s="2779"/>
    </row>
    <row r="8" spans="1:29" ht="13.5" customHeight="1">
      <c r="A8" s="2765"/>
      <c r="B8" s="1029"/>
      <c r="C8" s="1035"/>
      <c r="D8" s="2769"/>
      <c r="E8" s="2770"/>
      <c r="F8" s="1029"/>
      <c r="G8" s="1035"/>
      <c r="H8" s="1029"/>
      <c r="I8" s="1029"/>
      <c r="J8" s="1029"/>
      <c r="K8" s="1029"/>
      <c r="L8" s="1035"/>
      <c r="M8" s="1029"/>
      <c r="O8" s="2779"/>
      <c r="P8" s="2779"/>
      <c r="Q8" s="2779"/>
      <c r="R8" s="2779"/>
      <c r="S8" s="2779"/>
      <c r="T8" s="2779"/>
      <c r="U8" s="2779"/>
      <c r="V8" s="2779"/>
      <c r="W8" s="2779"/>
      <c r="X8" s="2779"/>
      <c r="Y8" s="2779"/>
      <c r="Z8" s="2779"/>
      <c r="AA8" s="2779"/>
      <c r="AB8" s="2779"/>
      <c r="AC8" s="2779"/>
    </row>
    <row r="9" spans="1:29" ht="13.5" customHeight="1">
      <c r="A9" s="2765"/>
      <c r="B9" s="1029"/>
      <c r="C9" s="1035"/>
      <c r="D9" s="2769"/>
      <c r="E9" s="2770"/>
      <c r="F9" s="1029"/>
      <c r="G9" s="1035"/>
      <c r="H9" s="1029"/>
      <c r="I9" s="1029"/>
      <c r="J9" s="1029"/>
      <c r="K9" s="1029"/>
      <c r="L9" s="1036"/>
      <c r="M9" s="2777" t="s">
        <v>2102</v>
      </c>
      <c r="N9" s="1032"/>
      <c r="O9" s="2780" t="s">
        <v>2103</v>
      </c>
      <c r="P9" s="2780"/>
      <c r="Q9" s="2780"/>
      <c r="R9" s="2780"/>
      <c r="S9" s="2780"/>
      <c r="T9" s="2780"/>
      <c r="U9" s="2780"/>
      <c r="V9" s="2780"/>
      <c r="W9" s="2780"/>
      <c r="X9" s="2780"/>
      <c r="Y9" s="2780"/>
      <c r="Z9" s="2780"/>
      <c r="AA9" s="2780"/>
      <c r="AB9" s="2780"/>
      <c r="AC9" s="2780"/>
    </row>
    <row r="10" spans="1:29" ht="13.5" customHeight="1">
      <c r="A10" s="2765"/>
      <c r="B10" s="1029"/>
      <c r="C10" s="1035"/>
      <c r="D10" s="2769"/>
      <c r="E10" s="2770"/>
      <c r="F10" s="1029"/>
      <c r="G10" s="1035"/>
      <c r="H10" s="1029"/>
      <c r="I10" s="1029"/>
      <c r="J10" s="1029"/>
      <c r="K10" s="1029"/>
      <c r="L10" s="1033"/>
      <c r="M10" s="2778"/>
      <c r="O10" s="2780"/>
      <c r="P10" s="2780"/>
      <c r="Q10" s="2780"/>
      <c r="R10" s="2780"/>
      <c r="S10" s="2780"/>
      <c r="T10" s="2780"/>
      <c r="U10" s="2780"/>
      <c r="V10" s="2780"/>
      <c r="W10" s="2780"/>
      <c r="X10" s="2780"/>
      <c r="Y10" s="2780"/>
      <c r="Z10" s="2780"/>
      <c r="AA10" s="2780"/>
      <c r="AB10" s="2780"/>
      <c r="AC10" s="2780"/>
    </row>
    <row r="11" spans="1:29" ht="13.5" customHeight="1">
      <c r="A11" s="2766"/>
      <c r="B11" s="1029"/>
      <c r="C11" s="1035"/>
      <c r="D11" s="2771"/>
      <c r="E11" s="2772"/>
      <c r="F11" s="1029"/>
      <c r="G11" s="1035"/>
      <c r="H11" s="1029"/>
      <c r="I11" s="1029"/>
      <c r="J11" s="1029"/>
      <c r="K11" s="1029"/>
      <c r="L11" s="1035"/>
      <c r="M11" s="1029"/>
      <c r="O11" s="1037"/>
      <c r="P11" s="1037"/>
      <c r="Q11" s="1037"/>
      <c r="R11" s="1037"/>
      <c r="S11" s="1037"/>
      <c r="T11" s="1037"/>
      <c r="U11" s="1037"/>
      <c r="V11" s="1037"/>
      <c r="W11" s="1037"/>
      <c r="X11" s="1037"/>
      <c r="Y11" s="1037"/>
      <c r="Z11" s="1037"/>
      <c r="AA11" s="1037"/>
      <c r="AB11" s="1037"/>
      <c r="AC11" s="1037"/>
    </row>
    <row r="12" spans="1:29" ht="13.5" customHeight="1">
      <c r="A12" s="1029"/>
      <c r="B12" s="1029"/>
      <c r="C12" s="1035"/>
      <c r="D12" s="1029"/>
      <c r="E12" s="1029"/>
      <c r="F12" s="1029"/>
      <c r="G12" s="1035"/>
      <c r="H12" s="1029"/>
      <c r="I12" s="1029"/>
      <c r="J12" s="1029"/>
      <c r="K12" s="1029"/>
      <c r="L12" s="1035"/>
      <c r="M12" s="2777" t="s">
        <v>2104</v>
      </c>
      <c r="N12" s="1032"/>
      <c r="O12" s="2781" t="s">
        <v>2105</v>
      </c>
      <c r="P12" s="2781"/>
      <c r="Q12" s="2781"/>
      <c r="R12" s="2781"/>
      <c r="S12" s="2781"/>
      <c r="T12" s="2781"/>
      <c r="U12" s="2781"/>
      <c r="V12" s="2781"/>
      <c r="W12" s="2781"/>
      <c r="X12" s="2781"/>
      <c r="Y12" s="2781"/>
      <c r="Z12" s="2781"/>
      <c r="AA12" s="2781"/>
      <c r="AB12" s="2781"/>
      <c r="AC12" s="2781"/>
    </row>
    <row r="13" spans="1:29" ht="13.5" customHeight="1">
      <c r="A13" s="1029"/>
      <c r="B13" s="1029"/>
      <c r="C13" s="1035"/>
      <c r="D13" s="1029"/>
      <c r="E13" s="1029"/>
      <c r="F13" s="1029"/>
      <c r="G13" s="1035"/>
      <c r="H13" s="1029"/>
      <c r="I13" s="1029"/>
      <c r="J13" s="1029"/>
      <c r="K13" s="1029"/>
      <c r="L13" s="1038"/>
      <c r="M13" s="2778"/>
      <c r="O13" s="2781"/>
      <c r="P13" s="2781"/>
      <c r="Q13" s="2781"/>
      <c r="R13" s="2781"/>
      <c r="S13" s="2781"/>
      <c r="T13" s="2781"/>
      <c r="U13" s="2781"/>
      <c r="V13" s="2781"/>
      <c r="W13" s="2781"/>
      <c r="X13" s="2781"/>
      <c r="Y13" s="2781"/>
      <c r="Z13" s="2781"/>
      <c r="AA13" s="2781"/>
      <c r="AB13" s="2781"/>
      <c r="AC13" s="2781"/>
    </row>
    <row r="14" spans="1:29" ht="13.5" customHeight="1">
      <c r="A14" s="1029"/>
      <c r="B14" s="1029"/>
      <c r="C14" s="1035"/>
      <c r="D14" s="1029"/>
      <c r="E14" s="1029"/>
      <c r="F14" s="1029"/>
      <c r="G14" s="1035"/>
      <c r="H14" s="1029"/>
      <c r="I14" s="1029"/>
      <c r="J14" s="1029"/>
      <c r="K14" s="1029"/>
      <c r="L14" s="1035"/>
      <c r="M14" s="1029"/>
      <c r="O14" s="1039"/>
      <c r="P14" s="1039"/>
      <c r="Q14" s="1039"/>
      <c r="R14" s="1039"/>
      <c r="S14" s="1039"/>
      <c r="T14" s="1039"/>
      <c r="U14" s="1039"/>
      <c r="V14" s="1039"/>
      <c r="W14" s="1039"/>
      <c r="X14" s="1039"/>
      <c r="Y14" s="1039"/>
      <c r="Z14" s="1039"/>
      <c r="AA14" s="1039"/>
      <c r="AB14" s="1039"/>
      <c r="AC14" s="1039"/>
    </row>
    <row r="15" spans="1:29" ht="13.5" customHeight="1">
      <c r="A15" s="1029"/>
      <c r="B15" s="1029"/>
      <c r="C15" s="1035"/>
      <c r="D15" s="1029"/>
      <c r="E15" s="1029"/>
      <c r="F15" s="1029"/>
      <c r="G15" s="1035"/>
      <c r="H15" s="1029"/>
      <c r="I15" s="1029"/>
      <c r="J15" s="1029"/>
      <c r="K15" s="1029"/>
      <c r="L15" s="1035"/>
      <c r="M15" s="2777" t="s">
        <v>2106</v>
      </c>
      <c r="O15" s="2781" t="s">
        <v>2107</v>
      </c>
      <c r="P15" s="2781"/>
      <c r="Q15" s="2781"/>
      <c r="R15" s="2781"/>
      <c r="S15" s="2781"/>
      <c r="T15" s="2781"/>
      <c r="U15" s="2781"/>
      <c r="V15" s="2781"/>
      <c r="W15" s="2781"/>
      <c r="X15" s="2781"/>
      <c r="Y15" s="2781"/>
      <c r="Z15" s="2781"/>
      <c r="AA15" s="2781"/>
      <c r="AB15" s="2781"/>
      <c r="AC15" s="2781"/>
    </row>
    <row r="16" spans="1:29" ht="13.5" customHeight="1">
      <c r="A16" s="1029"/>
      <c r="B16" s="1029"/>
      <c r="C16" s="1035"/>
      <c r="D16" s="1029"/>
      <c r="E16" s="1029"/>
      <c r="F16" s="1029"/>
      <c r="G16" s="1035"/>
      <c r="H16" s="1029"/>
      <c r="I16" s="1029"/>
      <c r="J16" s="1029"/>
      <c r="K16" s="1029"/>
      <c r="L16" s="1033"/>
      <c r="M16" s="2778"/>
      <c r="N16" s="1040"/>
      <c r="O16" s="2781"/>
      <c r="P16" s="2781"/>
      <c r="Q16" s="2781"/>
      <c r="R16" s="2781"/>
      <c r="S16" s="2781"/>
      <c r="T16" s="2781"/>
      <c r="U16" s="2781"/>
      <c r="V16" s="2781"/>
      <c r="W16" s="2781"/>
      <c r="X16" s="2781"/>
      <c r="Y16" s="2781"/>
      <c r="Z16" s="2781"/>
      <c r="AA16" s="2781"/>
      <c r="AB16" s="2781"/>
      <c r="AC16" s="2781"/>
    </row>
    <row r="17" spans="1:29" ht="13.5" customHeight="1">
      <c r="A17" s="1029"/>
      <c r="B17" s="1029"/>
      <c r="C17" s="1035"/>
      <c r="D17" s="1029"/>
      <c r="E17" s="1029"/>
      <c r="F17" s="1029"/>
      <c r="G17" s="1035"/>
      <c r="H17" s="1029"/>
      <c r="I17" s="1029"/>
      <c r="J17" s="1029"/>
      <c r="K17" s="1029"/>
      <c r="L17" s="1035"/>
      <c r="M17" s="1031"/>
      <c r="O17" s="1037"/>
      <c r="P17" s="1037"/>
      <c r="Q17" s="1037"/>
      <c r="R17" s="1037"/>
      <c r="S17" s="1037"/>
      <c r="T17" s="1037"/>
      <c r="U17" s="1037"/>
      <c r="V17" s="1037"/>
      <c r="W17" s="1037"/>
      <c r="X17" s="1037"/>
      <c r="Y17" s="1037"/>
      <c r="Z17" s="1037"/>
      <c r="AA17" s="1037"/>
      <c r="AB17" s="1037"/>
      <c r="AC17" s="1037"/>
    </row>
    <row r="18" spans="1:29" ht="13.5" customHeight="1">
      <c r="A18" s="1029"/>
      <c r="B18" s="1029"/>
      <c r="C18" s="1035"/>
      <c r="D18" s="1029"/>
      <c r="E18" s="1029"/>
      <c r="F18" s="1029"/>
      <c r="G18" s="1035"/>
      <c r="H18" s="1029"/>
      <c r="I18" s="1029"/>
      <c r="J18" s="1029"/>
      <c r="K18" s="1029"/>
      <c r="L18" s="1036"/>
      <c r="M18" s="2782" t="s">
        <v>2108</v>
      </c>
      <c r="N18" s="1041"/>
      <c r="O18" s="2784" t="s">
        <v>2181</v>
      </c>
      <c r="P18" s="2784"/>
      <c r="Q18" s="2784"/>
      <c r="R18" s="2784"/>
      <c r="S18" s="2784"/>
      <c r="T18" s="2784"/>
      <c r="U18" s="2784"/>
      <c r="V18" s="2784"/>
      <c r="W18" s="2784"/>
      <c r="X18" s="2784"/>
      <c r="Y18" s="2784"/>
      <c r="Z18" s="2784"/>
      <c r="AA18" s="2784"/>
      <c r="AB18" s="2784"/>
      <c r="AC18" s="2784"/>
    </row>
    <row r="19" spans="1:29" ht="13.5" customHeight="1">
      <c r="A19" s="1029"/>
      <c r="B19" s="1029"/>
      <c r="C19" s="1035"/>
      <c r="D19" s="1029"/>
      <c r="E19" s="1029"/>
      <c r="F19" s="1029"/>
      <c r="G19" s="1035"/>
      <c r="H19" s="1029"/>
      <c r="I19" s="1029"/>
      <c r="J19" s="1029"/>
      <c r="K19" s="1029"/>
      <c r="L19" s="1033"/>
      <c r="M19" s="2783"/>
      <c r="O19" s="2784"/>
      <c r="P19" s="2784"/>
      <c r="Q19" s="2784"/>
      <c r="R19" s="2784"/>
      <c r="S19" s="2784"/>
      <c r="T19" s="2784"/>
      <c r="U19" s="2784"/>
      <c r="V19" s="2784"/>
      <c r="W19" s="2784"/>
      <c r="X19" s="2784"/>
      <c r="Y19" s="2784"/>
      <c r="Z19" s="2784"/>
      <c r="AA19" s="2784"/>
      <c r="AB19" s="2784"/>
      <c r="AC19" s="2784"/>
    </row>
    <row r="20" spans="1:29" ht="13.5" customHeight="1">
      <c r="A20" s="1029"/>
      <c r="B20" s="1029"/>
      <c r="C20" s="1035"/>
      <c r="D20" s="1029"/>
      <c r="E20" s="1029"/>
      <c r="F20" s="1029"/>
      <c r="G20" s="1035"/>
      <c r="H20" s="1029"/>
      <c r="I20" s="1029"/>
      <c r="J20" s="1029"/>
      <c r="K20" s="1029"/>
      <c r="L20" s="1035"/>
      <c r="M20" s="1029"/>
      <c r="O20" s="1070"/>
      <c r="P20" s="1070"/>
      <c r="Q20" s="1070"/>
      <c r="R20" s="1070"/>
      <c r="S20" s="1070"/>
      <c r="T20" s="1070"/>
      <c r="U20" s="1070"/>
      <c r="V20" s="1070"/>
      <c r="W20" s="1070"/>
      <c r="X20" s="1070"/>
      <c r="Y20" s="1070"/>
      <c r="Z20" s="1070"/>
      <c r="AA20" s="1070"/>
      <c r="AB20" s="1070"/>
      <c r="AC20" s="1070"/>
    </row>
    <row r="21" spans="1:29" ht="13.5" customHeight="1">
      <c r="A21" s="1029"/>
      <c r="B21" s="1029"/>
      <c r="C21" s="1035"/>
      <c r="D21" s="1029"/>
      <c r="E21" s="1029"/>
      <c r="F21" s="1029"/>
      <c r="G21" s="1035"/>
      <c r="H21" s="1029"/>
      <c r="I21" s="1029"/>
      <c r="J21" s="1029"/>
      <c r="K21" s="1029"/>
      <c r="L21" s="1036"/>
      <c r="M21" s="2785" t="s">
        <v>2109</v>
      </c>
      <c r="N21" s="1041"/>
      <c r="O21" s="2786" t="s">
        <v>2110</v>
      </c>
      <c r="P21" s="2786"/>
      <c r="Q21" s="2786"/>
      <c r="R21" s="2786"/>
      <c r="S21" s="2786"/>
      <c r="T21" s="2786"/>
      <c r="U21" s="2786"/>
      <c r="V21" s="2786"/>
      <c r="W21" s="2786"/>
      <c r="X21" s="2786"/>
      <c r="Y21" s="2786"/>
      <c r="Z21" s="2786"/>
      <c r="AA21" s="2786"/>
      <c r="AB21" s="2786"/>
      <c r="AC21" s="2786"/>
    </row>
    <row r="22" spans="1:29" ht="13.5" customHeight="1">
      <c r="A22" s="1029"/>
      <c r="B22" s="1029"/>
      <c r="C22" s="1035"/>
      <c r="D22" s="1029"/>
      <c r="E22" s="1029"/>
      <c r="F22" s="1029"/>
      <c r="G22" s="1035"/>
      <c r="H22" s="1029"/>
      <c r="I22" s="1029"/>
      <c r="J22" s="1029"/>
      <c r="K22" s="1029"/>
      <c r="L22" s="1033"/>
      <c r="M22" s="2785"/>
      <c r="O22" s="2786"/>
      <c r="P22" s="2786"/>
      <c r="Q22" s="2786"/>
      <c r="R22" s="2786"/>
      <c r="S22" s="2786"/>
      <c r="T22" s="2786"/>
      <c r="U22" s="2786"/>
      <c r="V22" s="2786"/>
      <c r="W22" s="2786"/>
      <c r="X22" s="2786"/>
      <c r="Y22" s="2786"/>
      <c r="Z22" s="2786"/>
      <c r="AA22" s="2786"/>
      <c r="AB22" s="2786"/>
      <c r="AC22" s="2786"/>
    </row>
    <row r="23" spans="1:29" ht="13.5" customHeight="1">
      <c r="A23" s="1029"/>
      <c r="B23" s="1029"/>
      <c r="C23" s="1035"/>
      <c r="D23" s="1029"/>
      <c r="E23" s="1029"/>
      <c r="F23" s="1029"/>
      <c r="G23" s="1035"/>
      <c r="H23" s="1029"/>
      <c r="I23" s="1029"/>
      <c r="J23" s="1029"/>
      <c r="K23" s="1029"/>
      <c r="L23" s="1035"/>
      <c r="M23" s="1031"/>
      <c r="O23" s="2786"/>
      <c r="P23" s="2786"/>
      <c r="Q23" s="2786"/>
      <c r="R23" s="2786"/>
      <c r="S23" s="2786"/>
      <c r="T23" s="2786"/>
      <c r="U23" s="2786"/>
      <c r="V23" s="2786"/>
      <c r="W23" s="2786"/>
      <c r="X23" s="2786"/>
      <c r="Y23" s="2786"/>
      <c r="Z23" s="2786"/>
      <c r="AA23" s="2786"/>
      <c r="AB23" s="2786"/>
      <c r="AC23" s="2786"/>
    </row>
    <row r="24" spans="1:29" ht="13.5" customHeight="1">
      <c r="A24" s="1029"/>
      <c r="B24" s="1029"/>
      <c r="C24" s="1035"/>
      <c r="D24" s="1029"/>
      <c r="E24" s="1029"/>
      <c r="F24" s="1029"/>
      <c r="G24" s="1035"/>
      <c r="H24" s="1029"/>
      <c r="I24" s="1042"/>
      <c r="J24" s="1029"/>
      <c r="K24" s="1029"/>
      <c r="L24" s="1036"/>
      <c r="M24" s="2785" t="s">
        <v>2111</v>
      </c>
      <c r="N24" s="1041"/>
      <c r="O24" s="2784" t="s">
        <v>2182</v>
      </c>
      <c r="P24" s="2784"/>
      <c r="Q24" s="2784"/>
      <c r="R24" s="2784"/>
      <c r="S24" s="2784"/>
      <c r="T24" s="2784"/>
      <c r="U24" s="2784"/>
      <c r="V24" s="2784"/>
      <c r="W24" s="2784"/>
      <c r="X24" s="2784"/>
      <c r="Y24" s="2784"/>
      <c r="Z24" s="2784"/>
      <c r="AA24" s="2784"/>
      <c r="AB24" s="2784"/>
      <c r="AC24" s="2784"/>
    </row>
    <row r="25" spans="1:29" ht="13.5" customHeight="1">
      <c r="A25" s="1029"/>
      <c r="B25" s="1029"/>
      <c r="C25" s="1035"/>
      <c r="D25" s="1029"/>
      <c r="E25" s="1029"/>
      <c r="F25" s="1029"/>
      <c r="G25" s="1035"/>
      <c r="H25" s="1029"/>
      <c r="I25" s="1042"/>
      <c r="J25" s="1029"/>
      <c r="K25" s="1029"/>
      <c r="L25" s="1029"/>
      <c r="M25" s="2785"/>
      <c r="O25" s="2784"/>
      <c r="P25" s="2784"/>
      <c r="Q25" s="2784"/>
      <c r="R25" s="2784"/>
      <c r="S25" s="2784"/>
      <c r="T25" s="2784"/>
      <c r="U25" s="2784"/>
      <c r="V25" s="2784"/>
      <c r="W25" s="2784"/>
      <c r="X25" s="2784"/>
      <c r="Y25" s="2784"/>
      <c r="Z25" s="2784"/>
      <c r="AA25" s="2784"/>
      <c r="AB25" s="2784"/>
      <c r="AC25" s="2784"/>
    </row>
    <row r="26" spans="1:29" ht="13.5" customHeight="1">
      <c r="A26" s="1029"/>
      <c r="B26" s="1029"/>
      <c r="C26" s="1035"/>
      <c r="D26" s="1029"/>
      <c r="E26" s="1029"/>
      <c r="F26" s="1029"/>
      <c r="G26" s="1035"/>
      <c r="H26" s="1029"/>
      <c r="I26" s="1042"/>
      <c r="J26" s="1029"/>
      <c r="K26" s="1029"/>
      <c r="O26" s="1070"/>
      <c r="P26" s="1070"/>
      <c r="Q26" s="1070"/>
      <c r="R26" s="1070"/>
      <c r="S26" s="1070"/>
      <c r="T26" s="1070"/>
      <c r="U26" s="1070"/>
      <c r="V26" s="1070"/>
      <c r="W26" s="1070"/>
      <c r="X26" s="1070"/>
      <c r="Y26" s="1070"/>
      <c r="Z26" s="1070"/>
      <c r="AA26" s="1070"/>
      <c r="AB26" s="1070"/>
      <c r="AC26" s="1070"/>
    </row>
    <row r="27" spans="1:29" ht="13.5" customHeight="1">
      <c r="A27" s="1029"/>
      <c r="B27" s="1029"/>
      <c r="C27" s="1035"/>
      <c r="D27" s="1029"/>
      <c r="E27" s="1029"/>
      <c r="F27" s="1029"/>
      <c r="G27" s="1035"/>
      <c r="H27" s="1029"/>
      <c r="I27" s="1029"/>
      <c r="J27" s="1029"/>
      <c r="K27" s="1029"/>
      <c r="L27" s="1029"/>
      <c r="M27" s="1029"/>
      <c r="O27" s="1071"/>
      <c r="P27" s="1071"/>
      <c r="Q27" s="1071"/>
      <c r="R27" s="1071"/>
      <c r="S27" s="1071"/>
      <c r="T27" s="1071"/>
      <c r="U27" s="1071"/>
      <c r="V27" s="1071"/>
      <c r="W27" s="1071"/>
      <c r="X27" s="1071"/>
      <c r="Y27" s="1071"/>
      <c r="Z27" s="1071"/>
      <c r="AA27" s="1071"/>
      <c r="AB27" s="1071"/>
      <c r="AC27" s="1071"/>
    </row>
    <row r="28" spans="1:29" ht="13.5" customHeight="1">
      <c r="A28" s="1029"/>
      <c r="B28" s="1029"/>
      <c r="C28" s="1035"/>
      <c r="D28" s="1029"/>
      <c r="E28" s="1029"/>
      <c r="F28" s="1029"/>
      <c r="G28" s="1035"/>
      <c r="H28" s="1029"/>
      <c r="I28" s="1029"/>
      <c r="J28" s="1029"/>
      <c r="K28" s="1029"/>
      <c r="L28" s="1029"/>
      <c r="M28" s="1029"/>
      <c r="O28" s="1070"/>
      <c r="P28" s="1070"/>
      <c r="Q28" s="1071"/>
      <c r="R28" s="1071"/>
      <c r="S28" s="1071"/>
      <c r="T28" s="1071"/>
      <c r="U28" s="1071"/>
      <c r="V28" s="1071"/>
      <c r="W28" s="1071"/>
      <c r="X28" s="1071"/>
      <c r="Y28" s="1071"/>
      <c r="Z28" s="1071"/>
      <c r="AA28" s="1071"/>
      <c r="AB28" s="1071"/>
      <c r="AC28" s="1071"/>
    </row>
    <row r="29" spans="1:29" ht="13.5" customHeight="1">
      <c r="A29" s="1029"/>
      <c r="B29" s="1029"/>
      <c r="C29" s="1035"/>
      <c r="D29" s="1029"/>
      <c r="E29" s="1029"/>
      <c r="F29" s="1029"/>
      <c r="G29" s="1035"/>
      <c r="H29" s="2773" t="s">
        <v>2112</v>
      </c>
      <c r="I29" s="2774"/>
      <c r="J29" s="1029"/>
      <c r="K29" s="1029"/>
      <c r="L29" s="1030"/>
      <c r="M29" s="2777" t="s">
        <v>2113</v>
      </c>
      <c r="N29" s="1032"/>
      <c r="O29" s="2786" t="s">
        <v>2183</v>
      </c>
      <c r="P29" s="2786"/>
      <c r="Q29" s="2786"/>
      <c r="R29" s="2786"/>
      <c r="S29" s="2786"/>
      <c r="T29" s="2786"/>
      <c r="U29" s="2786"/>
      <c r="V29" s="2786"/>
      <c r="W29" s="2786"/>
      <c r="X29" s="2786"/>
      <c r="Y29" s="2786"/>
      <c r="Z29" s="2786"/>
      <c r="AA29" s="2786"/>
      <c r="AB29" s="2786"/>
      <c r="AC29" s="2786"/>
    </row>
    <row r="30" spans="1:29" ht="13.5" customHeight="1">
      <c r="A30" s="1029"/>
      <c r="B30" s="1029"/>
      <c r="C30" s="1035"/>
      <c r="D30" s="1029"/>
      <c r="E30" s="1029"/>
      <c r="F30" s="1029"/>
      <c r="G30" s="1038"/>
      <c r="H30" s="2775"/>
      <c r="I30" s="2776"/>
      <c r="J30" s="1033"/>
      <c r="K30" s="1043"/>
      <c r="L30" s="1033"/>
      <c r="M30" s="2778"/>
      <c r="O30" s="2786"/>
      <c r="P30" s="2786"/>
      <c r="Q30" s="2786"/>
      <c r="R30" s="2786"/>
      <c r="S30" s="2786"/>
      <c r="T30" s="2786"/>
      <c r="U30" s="2786"/>
      <c r="V30" s="2786"/>
      <c r="W30" s="2786"/>
      <c r="X30" s="2786"/>
      <c r="Y30" s="2786"/>
      <c r="Z30" s="2786"/>
      <c r="AA30" s="2786"/>
      <c r="AB30" s="2786"/>
      <c r="AC30" s="2786"/>
    </row>
    <row r="31" spans="1:29" ht="13.5" customHeight="1">
      <c r="A31" s="1029"/>
      <c r="B31" s="1029"/>
      <c r="C31" s="1035"/>
      <c r="D31" s="1029"/>
      <c r="E31" s="1029"/>
      <c r="F31" s="1029"/>
      <c r="G31" s="1035"/>
      <c r="H31" s="1029"/>
      <c r="I31" s="1029"/>
      <c r="J31" s="1029"/>
      <c r="K31" s="1029"/>
      <c r="L31" s="1035"/>
      <c r="M31" s="1029"/>
      <c r="O31" s="2786"/>
      <c r="P31" s="2786"/>
      <c r="Q31" s="2786"/>
      <c r="R31" s="2786"/>
      <c r="S31" s="2786"/>
      <c r="T31" s="2786"/>
      <c r="U31" s="2786"/>
      <c r="V31" s="2786"/>
      <c r="W31" s="2786"/>
      <c r="X31" s="2786"/>
      <c r="Y31" s="2786"/>
      <c r="Z31" s="2786"/>
      <c r="AA31" s="2786"/>
      <c r="AB31" s="2786"/>
      <c r="AC31" s="2786"/>
    </row>
    <row r="32" spans="1:29" ht="13.5" customHeight="1">
      <c r="A32" s="1029"/>
      <c r="B32" s="1029"/>
      <c r="C32" s="1035"/>
      <c r="D32" s="1029"/>
      <c r="E32" s="1029"/>
      <c r="F32" s="1029"/>
      <c r="G32" s="1035"/>
      <c r="H32" s="1029"/>
      <c r="I32" s="1029"/>
      <c r="J32" s="1029"/>
      <c r="K32" s="1029"/>
      <c r="L32" s="1035"/>
      <c r="M32" s="1029"/>
      <c r="O32" s="2786"/>
      <c r="P32" s="2786"/>
      <c r="Q32" s="2786"/>
      <c r="R32" s="2786"/>
      <c r="S32" s="2786"/>
      <c r="T32" s="2786"/>
      <c r="U32" s="2786"/>
      <c r="V32" s="2786"/>
      <c r="W32" s="2786"/>
      <c r="X32" s="2786"/>
      <c r="Y32" s="2786"/>
      <c r="Z32" s="2786"/>
      <c r="AA32" s="2786"/>
      <c r="AB32" s="2786"/>
      <c r="AC32" s="2786"/>
    </row>
    <row r="33" spans="1:29" ht="13.5" customHeight="1">
      <c r="A33" s="1029"/>
      <c r="B33" s="1029"/>
      <c r="C33" s="1035"/>
      <c r="D33" s="1029"/>
      <c r="E33" s="1029"/>
      <c r="F33" s="1029"/>
      <c r="G33" s="1035"/>
      <c r="H33" s="1029"/>
      <c r="I33" s="1031"/>
      <c r="J33" s="1031"/>
      <c r="K33" s="1044"/>
      <c r="L33" s="1035"/>
      <c r="M33" s="2777" t="s">
        <v>2114</v>
      </c>
      <c r="N33" s="1032"/>
      <c r="O33" s="2784" t="s">
        <v>2115</v>
      </c>
      <c r="P33" s="2784"/>
      <c r="Q33" s="2784"/>
      <c r="R33" s="2784"/>
      <c r="S33" s="2784"/>
      <c r="T33" s="2784"/>
      <c r="U33" s="2784"/>
      <c r="V33" s="2784"/>
      <c r="W33" s="2784"/>
      <c r="X33" s="2784"/>
      <c r="Y33" s="2784"/>
      <c r="Z33" s="2784"/>
      <c r="AA33" s="2784"/>
      <c r="AB33" s="2784"/>
      <c r="AC33" s="2784"/>
    </row>
    <row r="34" spans="1:29" ht="13.5" customHeight="1">
      <c r="A34" s="1029"/>
      <c r="B34" s="1029"/>
      <c r="C34" s="1035"/>
      <c r="D34" s="1029"/>
      <c r="E34" s="1029"/>
      <c r="F34" s="1029"/>
      <c r="G34" s="1035"/>
      <c r="H34" s="1029"/>
      <c r="I34" s="1031"/>
      <c r="J34" s="1031"/>
      <c r="K34" s="1044"/>
      <c r="L34" s="1038"/>
      <c r="M34" s="2778"/>
      <c r="O34" s="2784"/>
      <c r="P34" s="2784"/>
      <c r="Q34" s="2784"/>
      <c r="R34" s="2784"/>
      <c r="S34" s="2784"/>
      <c r="T34" s="2784"/>
      <c r="U34" s="2784"/>
      <c r="V34" s="2784"/>
      <c r="W34" s="2784"/>
      <c r="X34" s="2784"/>
      <c r="Y34" s="2784"/>
      <c r="Z34" s="2784"/>
      <c r="AA34" s="2784"/>
      <c r="AB34" s="2784"/>
      <c r="AC34" s="2784"/>
    </row>
    <row r="35" spans="1:29" ht="13.5" customHeight="1">
      <c r="A35" s="1029"/>
      <c r="B35" s="1029"/>
      <c r="C35" s="1035"/>
      <c r="D35" s="1029"/>
      <c r="E35" s="1029"/>
      <c r="F35" s="1029"/>
      <c r="G35" s="1035"/>
      <c r="H35" s="1029"/>
      <c r="I35" s="1031"/>
      <c r="J35" s="1031"/>
      <c r="K35" s="1029"/>
      <c r="L35" s="1035"/>
      <c r="M35" s="1031"/>
      <c r="O35" s="1071"/>
      <c r="P35" s="1071"/>
      <c r="Q35" s="1071"/>
      <c r="R35" s="1071"/>
      <c r="S35" s="1071"/>
      <c r="T35" s="1071"/>
      <c r="U35" s="1071"/>
      <c r="V35" s="1071"/>
      <c r="W35" s="1071"/>
      <c r="X35" s="1071"/>
      <c r="Y35" s="1071"/>
      <c r="Z35" s="1071"/>
      <c r="AA35" s="1071"/>
      <c r="AB35" s="1071"/>
      <c r="AC35" s="1071"/>
    </row>
    <row r="36" spans="1:29" ht="13.5" customHeight="1">
      <c r="A36" s="1029"/>
      <c r="B36" s="1029"/>
      <c r="C36" s="1035"/>
      <c r="D36" s="1029"/>
      <c r="E36" s="1029"/>
      <c r="F36" s="1029"/>
      <c r="G36" s="1035"/>
      <c r="H36" s="1029"/>
      <c r="I36" s="1045"/>
      <c r="J36" s="1042"/>
      <c r="K36" s="1029"/>
      <c r="L36" s="1035"/>
      <c r="M36" s="1029"/>
      <c r="O36" s="1070"/>
      <c r="P36" s="1070"/>
      <c r="Q36" s="1070"/>
      <c r="R36" s="1070"/>
      <c r="S36" s="1070"/>
      <c r="T36" s="1070"/>
      <c r="U36" s="1070"/>
      <c r="V36" s="1070"/>
      <c r="W36" s="1070"/>
      <c r="X36" s="1070"/>
      <c r="Y36" s="1070"/>
      <c r="Z36" s="1070"/>
      <c r="AA36" s="1070"/>
      <c r="AB36" s="1070"/>
      <c r="AC36" s="1070"/>
    </row>
    <row r="37" spans="1:29" ht="13.5" customHeight="1">
      <c r="A37" s="1029"/>
      <c r="B37" s="1029"/>
      <c r="C37" s="1035"/>
      <c r="D37" s="1029"/>
      <c r="E37" s="1029"/>
      <c r="F37" s="1029"/>
      <c r="G37" s="1035"/>
      <c r="H37" s="1029"/>
      <c r="I37" s="1045"/>
      <c r="J37" s="1042"/>
      <c r="K37" s="1029"/>
      <c r="L37" s="1035"/>
      <c r="M37" s="2777" t="s">
        <v>2116</v>
      </c>
      <c r="O37" s="2786" t="s">
        <v>2184</v>
      </c>
      <c r="P37" s="2786"/>
      <c r="Q37" s="2786"/>
      <c r="R37" s="2786"/>
      <c r="S37" s="2786"/>
      <c r="T37" s="2786"/>
      <c r="U37" s="2786"/>
      <c r="V37" s="2786"/>
      <c r="W37" s="2786"/>
      <c r="X37" s="2786"/>
      <c r="Y37" s="2786"/>
      <c r="Z37" s="2786"/>
      <c r="AA37" s="2786"/>
      <c r="AB37" s="2786"/>
      <c r="AC37" s="2786"/>
    </row>
    <row r="38" spans="1:29" ht="13.5" customHeight="1">
      <c r="A38" s="1029"/>
      <c r="B38" s="1029"/>
      <c r="C38" s="1035"/>
      <c r="D38" s="1029"/>
      <c r="E38" s="1029"/>
      <c r="F38" s="1029"/>
      <c r="G38" s="1035"/>
      <c r="H38" s="1029"/>
      <c r="I38" s="1045"/>
      <c r="J38" s="1042"/>
      <c r="K38" s="1029"/>
      <c r="L38" s="1038"/>
      <c r="M38" s="2778"/>
      <c r="N38" s="1040"/>
      <c r="O38" s="2786"/>
      <c r="P38" s="2786"/>
      <c r="Q38" s="2786"/>
      <c r="R38" s="2786"/>
      <c r="S38" s="2786"/>
      <c r="T38" s="2786"/>
      <c r="U38" s="2786"/>
      <c r="V38" s="2786"/>
      <c r="W38" s="2786"/>
      <c r="X38" s="2786"/>
      <c r="Y38" s="2786"/>
      <c r="Z38" s="2786"/>
      <c r="AA38" s="2786"/>
      <c r="AB38" s="2786"/>
      <c r="AC38" s="2786"/>
    </row>
    <row r="39" spans="1:29" ht="13.5" customHeight="1">
      <c r="A39" s="1029"/>
      <c r="B39" s="1029"/>
      <c r="C39" s="1035"/>
      <c r="D39" s="1029"/>
      <c r="E39" s="1029"/>
      <c r="F39" s="1029"/>
      <c r="G39" s="1035"/>
      <c r="H39" s="1029"/>
      <c r="I39" s="1045"/>
      <c r="J39" s="1042"/>
      <c r="K39" s="1029"/>
      <c r="L39" s="1035"/>
      <c r="M39" s="1045"/>
      <c r="O39" s="2786"/>
      <c r="P39" s="2786"/>
      <c r="Q39" s="2786"/>
      <c r="R39" s="2786"/>
      <c r="S39" s="2786"/>
      <c r="T39" s="2786"/>
      <c r="U39" s="2786"/>
      <c r="V39" s="2786"/>
      <c r="W39" s="2786"/>
      <c r="X39" s="2786"/>
      <c r="Y39" s="2786"/>
      <c r="Z39" s="2786"/>
      <c r="AA39" s="2786"/>
      <c r="AB39" s="2786"/>
      <c r="AC39" s="2786"/>
    </row>
    <row r="40" spans="1:29" ht="13.5" customHeight="1">
      <c r="A40" s="1029"/>
      <c r="B40" s="1029"/>
      <c r="C40" s="1035"/>
      <c r="D40" s="1029"/>
      <c r="E40" s="1029"/>
      <c r="F40" s="1029"/>
      <c r="G40" s="1035"/>
      <c r="H40" s="1029"/>
      <c r="I40" s="1045"/>
      <c r="J40" s="1042"/>
      <c r="K40" s="1029"/>
      <c r="L40" s="1035"/>
      <c r="M40" s="1045"/>
      <c r="O40" s="2786"/>
      <c r="P40" s="2786"/>
      <c r="Q40" s="2786"/>
      <c r="R40" s="2786"/>
      <c r="S40" s="2786"/>
      <c r="T40" s="2786"/>
      <c r="U40" s="2786"/>
      <c r="V40" s="2786"/>
      <c r="W40" s="2786"/>
      <c r="X40" s="2786"/>
      <c r="Y40" s="2786"/>
      <c r="Z40" s="2786"/>
      <c r="AA40" s="2786"/>
      <c r="AB40" s="2786"/>
      <c r="AC40" s="2786"/>
    </row>
    <row r="41" spans="1:29" ht="13.5" customHeight="1">
      <c r="A41" s="1029"/>
      <c r="B41" s="1029"/>
      <c r="C41" s="1035"/>
      <c r="D41" s="1029"/>
      <c r="E41" s="1029"/>
      <c r="F41" s="1029"/>
      <c r="G41" s="1035"/>
      <c r="H41" s="1029"/>
      <c r="I41" s="1046"/>
      <c r="J41" s="1029"/>
      <c r="K41" s="1029"/>
      <c r="L41" s="1036"/>
      <c r="M41" s="2777" t="s">
        <v>2117</v>
      </c>
      <c r="N41" s="1041"/>
      <c r="O41" s="2786" t="s">
        <v>2118</v>
      </c>
      <c r="P41" s="2786"/>
      <c r="Q41" s="2786"/>
      <c r="R41" s="2786"/>
      <c r="S41" s="2786"/>
      <c r="T41" s="2786"/>
      <c r="U41" s="2786"/>
      <c r="V41" s="2786"/>
      <c r="W41" s="2786"/>
      <c r="X41" s="2786"/>
      <c r="Y41" s="2786"/>
      <c r="Z41" s="2786"/>
      <c r="AA41" s="2786"/>
      <c r="AB41" s="2786"/>
      <c r="AC41" s="2786"/>
    </row>
    <row r="42" spans="1:29" ht="13.5" customHeight="1">
      <c r="A42" s="1029"/>
      <c r="B42" s="1029"/>
      <c r="C42" s="1035"/>
      <c r="D42" s="1029"/>
      <c r="E42" s="1029"/>
      <c r="F42" s="1029"/>
      <c r="G42" s="1035"/>
      <c r="H42" s="1029"/>
      <c r="I42" s="1029"/>
      <c r="J42" s="1029"/>
      <c r="K42" s="1029"/>
      <c r="L42" s="1029"/>
      <c r="M42" s="2778"/>
      <c r="O42" s="2786"/>
      <c r="P42" s="2786"/>
      <c r="Q42" s="2786"/>
      <c r="R42" s="2786"/>
      <c r="S42" s="2786"/>
      <c r="T42" s="2786"/>
      <c r="U42" s="2786"/>
      <c r="V42" s="2786"/>
      <c r="W42" s="2786"/>
      <c r="X42" s="2786"/>
      <c r="Y42" s="2786"/>
      <c r="Z42" s="2786"/>
      <c r="AA42" s="2786"/>
      <c r="AB42" s="2786"/>
      <c r="AC42" s="2786"/>
    </row>
    <row r="43" spans="1:29" ht="13.5" customHeight="1">
      <c r="A43" s="1029"/>
      <c r="B43" s="1029"/>
      <c r="C43" s="1035"/>
      <c r="D43" s="1029"/>
      <c r="E43" s="1029"/>
      <c r="F43" s="1029"/>
      <c r="G43" s="1035"/>
      <c r="H43" s="1029"/>
      <c r="I43" s="1029"/>
      <c r="J43" s="1029"/>
      <c r="K43" s="1029"/>
      <c r="L43" s="1029"/>
      <c r="M43" s="1045"/>
      <c r="O43" s="2786"/>
      <c r="P43" s="2786"/>
      <c r="Q43" s="2786"/>
      <c r="R43" s="2786"/>
      <c r="S43" s="2786"/>
      <c r="T43" s="2786"/>
      <c r="U43" s="2786"/>
      <c r="V43" s="2786"/>
      <c r="W43" s="2786"/>
      <c r="X43" s="2786"/>
      <c r="Y43" s="2786"/>
      <c r="Z43" s="2786"/>
      <c r="AA43" s="2786"/>
      <c r="AB43" s="2786"/>
      <c r="AC43" s="2786"/>
    </row>
    <row r="44" spans="1:29" ht="13.5" customHeight="1">
      <c r="A44" s="1029"/>
      <c r="B44" s="1029"/>
      <c r="C44" s="1035"/>
      <c r="D44" s="1029"/>
      <c r="E44" s="1029"/>
      <c r="F44" s="1029"/>
      <c r="G44" s="1035"/>
      <c r="H44" s="1029"/>
      <c r="I44" s="1029"/>
      <c r="J44" s="1029"/>
      <c r="K44" s="1029"/>
      <c r="O44" s="1070"/>
      <c r="P44" s="1070"/>
      <c r="Q44" s="1070"/>
      <c r="R44" s="1070"/>
      <c r="S44" s="1070"/>
      <c r="T44" s="1070"/>
      <c r="U44" s="1070"/>
      <c r="V44" s="1070"/>
      <c r="W44" s="1070"/>
      <c r="X44" s="1070"/>
      <c r="Y44" s="1070"/>
      <c r="Z44" s="1070"/>
      <c r="AA44" s="1070"/>
      <c r="AB44" s="1070"/>
      <c r="AC44" s="1070"/>
    </row>
    <row r="45" spans="1:29" ht="13.5" customHeight="1">
      <c r="A45" s="1029"/>
      <c r="B45" s="1029"/>
      <c r="C45" s="1035"/>
      <c r="D45" s="1029"/>
      <c r="E45" s="1029"/>
      <c r="F45" s="1029"/>
      <c r="G45" s="1035"/>
      <c r="H45" s="1029"/>
      <c r="I45" s="1029"/>
      <c r="J45" s="1029"/>
      <c r="K45" s="1029"/>
      <c r="L45" s="1029"/>
      <c r="M45" s="1029"/>
      <c r="O45" s="1070"/>
      <c r="P45" s="1070"/>
      <c r="Q45" s="1071"/>
      <c r="R45" s="1071"/>
      <c r="S45" s="1071"/>
      <c r="T45" s="1071"/>
      <c r="U45" s="1071"/>
      <c r="V45" s="1071"/>
      <c r="W45" s="1071"/>
      <c r="X45" s="1071"/>
      <c r="Y45" s="1071"/>
      <c r="Z45" s="1071"/>
      <c r="AA45" s="1071"/>
      <c r="AB45" s="1071"/>
      <c r="AC45" s="1071"/>
    </row>
    <row r="46" spans="1:29" ht="13.5" customHeight="1">
      <c r="A46" s="1029"/>
      <c r="B46" s="1029"/>
      <c r="C46" s="1035"/>
      <c r="D46" s="1029"/>
      <c r="E46" s="1029"/>
      <c r="F46" s="1029"/>
      <c r="G46" s="1036"/>
      <c r="H46" s="2787" t="s">
        <v>2119</v>
      </c>
      <c r="I46" s="2788"/>
      <c r="J46" s="1030"/>
      <c r="K46" s="1030"/>
      <c r="L46" s="1047"/>
      <c r="M46" s="2782" t="s">
        <v>2120</v>
      </c>
      <c r="N46" s="1041"/>
      <c r="O46" s="2784" t="s">
        <v>2185</v>
      </c>
      <c r="P46" s="2784"/>
      <c r="Q46" s="2784"/>
      <c r="R46" s="2784"/>
      <c r="S46" s="2784"/>
      <c r="T46" s="2784"/>
      <c r="U46" s="2784"/>
      <c r="V46" s="2784"/>
      <c r="W46" s="2784"/>
      <c r="X46" s="2784"/>
      <c r="Y46" s="2784"/>
      <c r="Z46" s="2784"/>
      <c r="AA46" s="2784"/>
      <c r="AB46" s="2784"/>
      <c r="AC46" s="2784"/>
    </row>
    <row r="47" spans="1:29" ht="13.5" customHeight="1">
      <c r="A47" s="1029"/>
      <c r="B47" s="1029"/>
      <c r="C47" s="1035"/>
      <c r="D47" s="1029"/>
      <c r="E47" s="1029"/>
      <c r="F47" s="1029"/>
      <c r="G47" s="1033"/>
      <c r="H47" s="2789"/>
      <c r="I47" s="2790"/>
      <c r="J47" s="1048"/>
      <c r="K47" s="1048"/>
      <c r="L47" s="1033"/>
      <c r="M47" s="2783"/>
      <c r="O47" s="2784"/>
      <c r="P47" s="2784"/>
      <c r="Q47" s="2784"/>
      <c r="R47" s="2784"/>
      <c r="S47" s="2784"/>
      <c r="T47" s="2784"/>
      <c r="U47" s="2784"/>
      <c r="V47" s="2784"/>
      <c r="W47" s="2784"/>
      <c r="X47" s="2784"/>
      <c r="Y47" s="2784"/>
      <c r="Z47" s="2784"/>
      <c r="AA47" s="2784"/>
      <c r="AB47" s="2784"/>
      <c r="AC47" s="2784"/>
    </row>
    <row r="48" spans="1:29" ht="13.5" customHeight="1">
      <c r="A48" s="1029"/>
      <c r="B48" s="1029"/>
      <c r="C48" s="1035"/>
      <c r="D48" s="1029"/>
      <c r="E48" s="1029"/>
      <c r="F48" s="1029"/>
      <c r="G48" s="1035"/>
      <c r="H48" s="1029"/>
      <c r="I48" s="1029"/>
      <c r="J48" s="1029"/>
      <c r="K48" s="1029"/>
      <c r="L48" s="1035"/>
      <c r="M48" s="1029"/>
      <c r="O48" s="1071"/>
      <c r="P48" s="1071"/>
      <c r="Q48" s="1071"/>
      <c r="R48" s="1071"/>
      <c r="S48" s="1071"/>
      <c r="T48" s="1071"/>
      <c r="U48" s="1071"/>
      <c r="V48" s="1071"/>
      <c r="W48" s="1071"/>
      <c r="X48" s="1071"/>
      <c r="Y48" s="1071"/>
      <c r="Z48" s="1071"/>
      <c r="AA48" s="1071"/>
      <c r="AB48" s="1071"/>
      <c r="AC48" s="1071"/>
    </row>
    <row r="49" spans="1:29" ht="13.5" customHeight="1">
      <c r="A49" s="1029"/>
      <c r="B49" s="1029"/>
      <c r="C49" s="1035"/>
      <c r="D49" s="1029"/>
      <c r="E49" s="1029"/>
      <c r="F49" s="1029"/>
      <c r="G49" s="1035"/>
      <c r="H49" s="1029"/>
      <c r="I49" s="1029"/>
      <c r="J49" s="1029"/>
      <c r="K49" s="1029"/>
      <c r="L49" s="1049"/>
      <c r="M49" s="2777" t="s">
        <v>2121</v>
      </c>
      <c r="N49" s="1041"/>
      <c r="O49" s="2779" t="s">
        <v>2186</v>
      </c>
      <c r="P49" s="2779"/>
      <c r="Q49" s="2779"/>
      <c r="R49" s="2779"/>
      <c r="S49" s="2779"/>
      <c r="T49" s="2779"/>
      <c r="U49" s="2779"/>
      <c r="V49" s="2779"/>
      <c r="W49" s="2779"/>
      <c r="X49" s="2779"/>
      <c r="Y49" s="2779"/>
      <c r="Z49" s="2779"/>
      <c r="AA49" s="2779"/>
      <c r="AB49" s="2779"/>
      <c r="AC49" s="2779"/>
    </row>
    <row r="50" spans="1:29" ht="13.5" customHeight="1">
      <c r="A50" s="1029"/>
      <c r="B50" s="1029"/>
      <c r="C50" s="1035"/>
      <c r="D50" s="1029"/>
      <c r="E50" s="1029"/>
      <c r="F50" s="1029"/>
      <c r="G50" s="1035"/>
      <c r="H50" s="1029"/>
      <c r="I50" s="1029"/>
      <c r="J50" s="1029"/>
      <c r="K50" s="1029"/>
      <c r="L50" s="1035"/>
      <c r="M50" s="2778"/>
      <c r="O50" s="2779"/>
      <c r="P50" s="2779"/>
      <c r="Q50" s="2779"/>
      <c r="R50" s="2779"/>
      <c r="S50" s="2779"/>
      <c r="T50" s="2779"/>
      <c r="U50" s="2779"/>
      <c r="V50" s="2779"/>
      <c r="W50" s="2779"/>
      <c r="X50" s="2779"/>
      <c r="Y50" s="2779"/>
      <c r="Z50" s="2779"/>
      <c r="AA50" s="2779"/>
      <c r="AB50" s="2779"/>
      <c r="AC50" s="2779"/>
    </row>
    <row r="51" spans="1:29" ht="13.5" customHeight="1">
      <c r="A51" s="1029"/>
      <c r="B51" s="1029"/>
      <c r="C51" s="1035"/>
      <c r="D51" s="1029"/>
      <c r="E51" s="1029"/>
      <c r="F51" s="1029"/>
      <c r="G51" s="1035"/>
      <c r="H51" s="1029"/>
      <c r="I51" s="1029"/>
      <c r="J51" s="1029"/>
      <c r="K51" s="1029"/>
      <c r="L51" s="1035"/>
      <c r="M51" s="1031"/>
      <c r="O51" s="2779"/>
      <c r="P51" s="2779"/>
      <c r="Q51" s="2779"/>
      <c r="R51" s="2779"/>
      <c r="S51" s="2779"/>
      <c r="T51" s="2779"/>
      <c r="U51" s="2779"/>
      <c r="V51" s="2779"/>
      <c r="W51" s="2779"/>
      <c r="X51" s="2779"/>
      <c r="Y51" s="2779"/>
      <c r="Z51" s="2779"/>
      <c r="AA51" s="2779"/>
      <c r="AB51" s="2779"/>
      <c r="AC51" s="2779"/>
    </row>
    <row r="52" spans="1:29" ht="13.5" customHeight="1">
      <c r="A52" s="1029"/>
      <c r="B52" s="1029"/>
      <c r="C52" s="1035"/>
      <c r="D52" s="1029"/>
      <c r="E52" s="1029"/>
      <c r="F52" s="1029"/>
      <c r="G52" s="1035"/>
      <c r="H52" s="1029"/>
      <c r="I52" s="1031"/>
      <c r="J52" s="1029"/>
      <c r="K52" s="1044"/>
      <c r="L52" s="1036"/>
      <c r="M52" s="2777" t="s">
        <v>2122</v>
      </c>
      <c r="N52" s="1041"/>
      <c r="O52" s="2784" t="s">
        <v>2187</v>
      </c>
      <c r="P52" s="2784"/>
      <c r="Q52" s="2784"/>
      <c r="R52" s="2784"/>
      <c r="S52" s="2784"/>
      <c r="T52" s="2784"/>
      <c r="U52" s="2784"/>
      <c r="V52" s="2784"/>
      <c r="W52" s="2784"/>
      <c r="X52" s="2784"/>
      <c r="Y52" s="2784"/>
      <c r="Z52" s="2784"/>
      <c r="AA52" s="2784"/>
      <c r="AB52" s="2784"/>
      <c r="AC52" s="2784"/>
    </row>
    <row r="53" spans="1:29" ht="13.5" customHeight="1">
      <c r="A53" s="1029"/>
      <c r="B53" s="1029"/>
      <c r="C53" s="1035"/>
      <c r="D53" s="1029"/>
      <c r="E53" s="1029"/>
      <c r="F53" s="1029"/>
      <c r="G53" s="1035"/>
      <c r="H53" s="1029"/>
      <c r="I53" s="1031"/>
      <c r="J53" s="1029"/>
      <c r="K53" s="1029"/>
      <c r="L53" s="1033"/>
      <c r="M53" s="2778"/>
      <c r="O53" s="2784"/>
      <c r="P53" s="2784"/>
      <c r="Q53" s="2784"/>
      <c r="R53" s="2784"/>
      <c r="S53" s="2784"/>
      <c r="T53" s="2784"/>
      <c r="U53" s="2784"/>
      <c r="V53" s="2784"/>
      <c r="W53" s="2784"/>
      <c r="X53" s="2784"/>
      <c r="Y53" s="2784"/>
      <c r="Z53" s="2784"/>
      <c r="AA53" s="2784"/>
      <c r="AB53" s="2784"/>
      <c r="AC53" s="2784"/>
    </row>
    <row r="54" spans="1:29" ht="13.5" customHeight="1">
      <c r="A54" s="1029"/>
      <c r="B54" s="1029"/>
      <c r="C54" s="1035"/>
      <c r="D54" s="1029"/>
      <c r="E54" s="1029"/>
      <c r="F54" s="1029"/>
      <c r="G54" s="1035"/>
      <c r="H54" s="1029"/>
      <c r="I54" s="1029"/>
      <c r="J54" s="1029"/>
      <c r="K54" s="1029"/>
      <c r="L54" s="1035"/>
      <c r="M54" s="1029"/>
      <c r="O54" s="1070"/>
      <c r="P54" s="1070"/>
      <c r="Q54" s="1070"/>
      <c r="R54" s="1070"/>
      <c r="S54" s="1070"/>
      <c r="T54" s="1070"/>
      <c r="U54" s="1070"/>
      <c r="V54" s="1070"/>
      <c r="W54" s="1070"/>
      <c r="X54" s="1070"/>
      <c r="Y54" s="1070"/>
      <c r="Z54" s="1070"/>
      <c r="AA54" s="1070"/>
      <c r="AB54" s="1070"/>
      <c r="AC54" s="1070"/>
    </row>
    <row r="55" spans="1:29" ht="13.5" customHeight="1">
      <c r="A55" s="1029"/>
      <c r="B55" s="1029"/>
      <c r="C55" s="1035"/>
      <c r="D55" s="1029"/>
      <c r="E55" s="1029"/>
      <c r="F55" s="1029"/>
      <c r="G55" s="1035"/>
      <c r="H55" s="1029"/>
      <c r="I55" s="1031"/>
      <c r="J55" s="1029"/>
      <c r="K55" s="1044"/>
      <c r="L55" s="1036"/>
      <c r="M55" s="2773" t="s">
        <v>2123</v>
      </c>
      <c r="N55" s="1050"/>
      <c r="O55" s="2784"/>
      <c r="P55" s="2784"/>
      <c r="Q55" s="2784"/>
      <c r="R55" s="2784"/>
      <c r="S55" s="2784"/>
      <c r="T55" s="2784"/>
      <c r="U55" s="2784"/>
      <c r="V55" s="2784"/>
      <c r="W55" s="2784"/>
      <c r="X55" s="2784"/>
      <c r="Y55" s="2784"/>
      <c r="Z55" s="2784"/>
      <c r="AA55" s="2784"/>
      <c r="AB55" s="2784"/>
      <c r="AC55" s="2784"/>
    </row>
    <row r="56" spans="1:29" ht="13.5" customHeight="1">
      <c r="A56" s="1029"/>
      <c r="B56" s="1029"/>
      <c r="C56" s="1035"/>
      <c r="D56" s="1029"/>
      <c r="E56" s="1029"/>
      <c r="F56" s="1029"/>
      <c r="G56" s="1035"/>
      <c r="H56" s="1029"/>
      <c r="I56" s="1031"/>
      <c r="J56" s="1029"/>
      <c r="K56" s="1029"/>
      <c r="L56" s="1048"/>
      <c r="M56" s="2778"/>
      <c r="O56" s="2784"/>
      <c r="P56" s="2784"/>
      <c r="Q56" s="2784"/>
      <c r="R56" s="2784"/>
      <c r="S56" s="2784"/>
      <c r="T56" s="2784"/>
      <c r="U56" s="2784"/>
      <c r="V56" s="2784"/>
      <c r="W56" s="2784"/>
      <c r="X56" s="2784"/>
      <c r="Y56" s="2784"/>
      <c r="Z56" s="2784"/>
      <c r="AA56" s="2784"/>
      <c r="AB56" s="2784"/>
      <c r="AC56" s="2784"/>
    </row>
    <row r="57" spans="1:29" ht="13.5" customHeight="1">
      <c r="A57" s="1029"/>
      <c r="B57" s="1029"/>
      <c r="C57" s="1035"/>
      <c r="D57" s="1029"/>
      <c r="E57" s="1029"/>
      <c r="F57" s="1029"/>
      <c r="G57" s="1035"/>
      <c r="H57" s="1029"/>
      <c r="I57" s="1029"/>
      <c r="J57" s="1029"/>
      <c r="K57" s="1029"/>
      <c r="L57" s="1029"/>
      <c r="M57" s="1029"/>
      <c r="O57" s="1070"/>
      <c r="P57" s="1070"/>
      <c r="Q57" s="1070"/>
      <c r="R57" s="1070"/>
      <c r="S57" s="1070"/>
      <c r="T57" s="1070"/>
      <c r="U57" s="1070"/>
      <c r="V57" s="1070"/>
      <c r="W57" s="1070"/>
      <c r="X57" s="1070"/>
      <c r="Y57" s="1070"/>
      <c r="Z57" s="1070"/>
      <c r="AA57" s="1070"/>
      <c r="AB57" s="1070"/>
      <c r="AC57" s="1070"/>
    </row>
    <row r="58" spans="1:29" ht="13.5" customHeight="1">
      <c r="A58" s="1029"/>
      <c r="B58" s="1029"/>
      <c r="C58" s="1035"/>
      <c r="D58" s="1029"/>
      <c r="E58" s="1029"/>
      <c r="F58" s="1029"/>
      <c r="G58" s="1035"/>
      <c r="H58" s="1029"/>
      <c r="I58" s="1029"/>
      <c r="J58" s="1029"/>
      <c r="K58" s="1029"/>
      <c r="O58" s="1070"/>
      <c r="P58" s="1070"/>
      <c r="Q58" s="1070"/>
      <c r="R58" s="1070"/>
      <c r="S58" s="1070"/>
      <c r="T58" s="1070"/>
      <c r="U58" s="1070"/>
      <c r="V58" s="1070"/>
      <c r="W58" s="1070"/>
      <c r="X58" s="1070"/>
      <c r="Y58" s="1070"/>
      <c r="Z58" s="1070"/>
      <c r="AA58" s="1070"/>
      <c r="AB58" s="1070"/>
      <c r="AC58" s="1070"/>
    </row>
    <row r="59" spans="1:29" ht="13.5" customHeight="1">
      <c r="A59" s="1029"/>
      <c r="B59" s="1029"/>
      <c r="C59" s="1035"/>
      <c r="D59" s="1029"/>
      <c r="E59" s="1029"/>
      <c r="F59" s="1029"/>
      <c r="G59" s="1035"/>
      <c r="H59" s="1029"/>
      <c r="I59" s="1029"/>
      <c r="J59" s="1029"/>
      <c r="K59" s="1029"/>
      <c r="L59" s="1029"/>
      <c r="M59" s="1029"/>
      <c r="O59" s="1070"/>
      <c r="P59" s="1070"/>
      <c r="Q59" s="1070"/>
      <c r="R59" s="1070"/>
      <c r="S59" s="1070"/>
      <c r="T59" s="1070"/>
      <c r="U59" s="1070"/>
      <c r="V59" s="1070"/>
      <c r="W59" s="1070"/>
      <c r="X59" s="1070"/>
      <c r="Y59" s="1070"/>
      <c r="Z59" s="1070"/>
      <c r="AA59" s="1070"/>
      <c r="AB59" s="1070"/>
      <c r="AC59" s="1070"/>
    </row>
    <row r="60" spans="1:29" ht="13.5" customHeight="1">
      <c r="A60" s="1029"/>
      <c r="B60" s="1029"/>
      <c r="C60" s="1036"/>
      <c r="D60" s="1030"/>
      <c r="E60" s="1030"/>
      <c r="F60" s="1047"/>
      <c r="G60" s="1049"/>
      <c r="H60" s="2791" t="s">
        <v>2124</v>
      </c>
      <c r="I60" s="2774"/>
      <c r="J60" s="1036"/>
      <c r="K60" s="1030"/>
      <c r="L60" s="1047"/>
      <c r="M60" s="2777" t="s">
        <v>2125</v>
      </c>
      <c r="N60" s="1041"/>
      <c r="O60" s="2779" t="s">
        <v>2188</v>
      </c>
      <c r="P60" s="2779"/>
      <c r="Q60" s="2779"/>
      <c r="R60" s="2779"/>
      <c r="S60" s="2779"/>
      <c r="T60" s="2779"/>
      <c r="U60" s="2779"/>
      <c r="V60" s="2779"/>
      <c r="W60" s="2779"/>
      <c r="X60" s="2779"/>
      <c r="Y60" s="2779"/>
      <c r="Z60" s="2779"/>
      <c r="AA60" s="2779"/>
      <c r="AB60" s="2779"/>
      <c r="AC60" s="2779"/>
    </row>
    <row r="61" spans="1:29" ht="13.5" customHeight="1">
      <c r="A61" s="1029"/>
      <c r="B61" s="1029"/>
      <c r="C61" s="1035"/>
      <c r="D61" s="1029"/>
      <c r="E61" s="1029"/>
      <c r="F61" s="1029"/>
      <c r="G61" s="1029"/>
      <c r="H61" s="2775"/>
      <c r="I61" s="2776"/>
      <c r="J61" s="1029"/>
      <c r="K61" s="1035"/>
      <c r="L61" s="1029"/>
      <c r="M61" s="2778"/>
      <c r="O61" s="2779"/>
      <c r="P61" s="2779"/>
      <c r="Q61" s="2779"/>
      <c r="R61" s="2779"/>
      <c r="S61" s="2779"/>
      <c r="T61" s="2779"/>
      <c r="U61" s="2779"/>
      <c r="V61" s="2779"/>
      <c r="W61" s="2779"/>
      <c r="X61" s="2779"/>
      <c r="Y61" s="2779"/>
      <c r="Z61" s="2779"/>
      <c r="AA61" s="2779"/>
      <c r="AB61" s="2779"/>
      <c r="AC61" s="2779"/>
    </row>
    <row r="62" spans="1:29" ht="13.5" customHeight="1">
      <c r="A62" s="1029"/>
      <c r="B62" s="1029"/>
      <c r="C62" s="1035"/>
      <c r="D62" s="1029"/>
      <c r="E62" s="1029"/>
      <c r="F62" s="1029"/>
      <c r="G62" s="1029"/>
      <c r="H62" s="1031"/>
      <c r="I62" s="1031"/>
      <c r="J62" s="1029"/>
      <c r="K62" s="1035"/>
      <c r="L62" s="1029"/>
      <c r="M62" s="1029"/>
      <c r="O62" s="1070"/>
      <c r="P62" s="1070"/>
      <c r="Q62" s="1070"/>
      <c r="R62" s="1070"/>
      <c r="S62" s="1070"/>
      <c r="T62" s="1070"/>
      <c r="U62" s="1070"/>
      <c r="V62" s="1070"/>
      <c r="W62" s="1070"/>
      <c r="X62" s="1070"/>
      <c r="Y62" s="1070"/>
      <c r="Z62" s="1070"/>
      <c r="AA62" s="1070"/>
      <c r="AB62" s="1070"/>
      <c r="AC62" s="1070"/>
    </row>
    <row r="63" spans="1:29" ht="13.5" customHeight="1">
      <c r="A63" s="1029"/>
      <c r="B63" s="1029"/>
      <c r="C63" s="1035"/>
      <c r="D63" s="1029"/>
      <c r="E63" s="1029"/>
      <c r="F63" s="1029"/>
      <c r="G63" s="1029"/>
      <c r="H63" s="1029"/>
      <c r="I63" s="1029"/>
      <c r="J63" s="1029"/>
      <c r="K63" s="1036"/>
      <c r="L63" s="1030"/>
      <c r="M63" s="2777" t="s">
        <v>2126</v>
      </c>
      <c r="N63" s="1032"/>
      <c r="O63" s="2779" t="s">
        <v>2127</v>
      </c>
      <c r="P63" s="2779"/>
      <c r="Q63" s="2779"/>
      <c r="R63" s="2779"/>
      <c r="S63" s="2779"/>
      <c r="T63" s="2779"/>
      <c r="U63" s="2779"/>
      <c r="V63" s="2779"/>
      <c r="W63" s="2779"/>
      <c r="X63" s="2779"/>
      <c r="Y63" s="2779"/>
      <c r="Z63" s="2779"/>
      <c r="AA63" s="2779"/>
      <c r="AB63" s="2779"/>
      <c r="AC63" s="2779"/>
    </row>
    <row r="64" spans="1:29" ht="13.5" customHeight="1">
      <c r="A64" s="1029"/>
      <c r="B64" s="1029"/>
      <c r="C64" s="1035"/>
      <c r="D64" s="1029"/>
      <c r="E64" s="1029"/>
      <c r="F64" s="1029"/>
      <c r="G64" s="1029"/>
      <c r="H64" s="1029"/>
      <c r="I64" s="1029"/>
      <c r="J64" s="1029"/>
      <c r="K64" s="1029"/>
      <c r="L64" s="1029"/>
      <c r="M64" s="2778"/>
      <c r="O64" s="2779"/>
      <c r="P64" s="2779"/>
      <c r="Q64" s="2779"/>
      <c r="R64" s="2779"/>
      <c r="S64" s="2779"/>
      <c r="T64" s="2779"/>
      <c r="U64" s="2779"/>
      <c r="V64" s="2779"/>
      <c r="W64" s="2779"/>
      <c r="X64" s="2779"/>
      <c r="Y64" s="2779"/>
      <c r="Z64" s="2779"/>
      <c r="AA64" s="2779"/>
      <c r="AB64" s="2779"/>
      <c r="AC64" s="2779"/>
    </row>
    <row r="65" spans="1:29" ht="13.5" customHeight="1">
      <c r="A65" s="1029"/>
      <c r="B65" s="1029"/>
      <c r="C65" s="1035"/>
      <c r="D65" s="1029"/>
      <c r="E65" s="1029"/>
      <c r="F65" s="1029"/>
      <c r="G65" s="1029"/>
      <c r="H65" s="1029"/>
      <c r="I65" s="1031"/>
      <c r="J65" s="1031"/>
      <c r="K65" s="1029"/>
      <c r="L65" s="1029"/>
      <c r="M65" s="1051"/>
      <c r="O65" s="1071"/>
      <c r="P65" s="1071"/>
      <c r="Q65" s="1071"/>
      <c r="R65" s="1071"/>
      <c r="S65" s="1071"/>
      <c r="T65" s="1071"/>
      <c r="U65" s="1071"/>
      <c r="V65" s="1071"/>
      <c r="W65" s="1071"/>
      <c r="X65" s="1071"/>
      <c r="Y65" s="1071"/>
      <c r="Z65" s="1071"/>
      <c r="AA65" s="1071"/>
      <c r="AB65" s="1071"/>
      <c r="AC65" s="1071"/>
    </row>
    <row r="66" spans="1:29" ht="13.5" customHeight="1">
      <c r="A66" s="1029"/>
      <c r="B66" s="1029"/>
      <c r="C66" s="1035"/>
      <c r="D66" s="1052"/>
      <c r="E66" s="1052"/>
      <c r="F66" s="1029"/>
      <c r="G66" s="1029"/>
      <c r="H66" s="1029"/>
      <c r="I66" s="1029"/>
      <c r="J66" s="1029"/>
      <c r="K66" s="1029"/>
      <c r="L66" s="1029"/>
      <c r="M66" s="1029"/>
      <c r="O66" s="1070"/>
      <c r="P66" s="1070"/>
      <c r="Q66" s="1070"/>
      <c r="R66" s="1070"/>
      <c r="S66" s="1070"/>
      <c r="T66" s="1070"/>
      <c r="U66" s="1070"/>
      <c r="V66" s="1070"/>
      <c r="W66" s="1070"/>
      <c r="X66" s="1070"/>
      <c r="Y66" s="1070"/>
      <c r="Z66" s="1070"/>
      <c r="AA66" s="1070"/>
      <c r="AB66" s="1070"/>
      <c r="AC66" s="1070"/>
    </row>
    <row r="67" spans="1:29" ht="13.5" customHeight="1">
      <c r="A67" s="1029"/>
      <c r="B67" s="1029"/>
      <c r="C67" s="1036"/>
      <c r="D67" s="1053"/>
      <c r="E67" s="1053"/>
      <c r="F67" s="1030"/>
      <c r="G67" s="1030"/>
      <c r="H67" s="2773" t="s">
        <v>2128</v>
      </c>
      <c r="I67" s="2774"/>
      <c r="J67" s="1030"/>
      <c r="K67" s="1030"/>
      <c r="L67" s="1047"/>
      <c r="M67" s="2777" t="s">
        <v>2129</v>
      </c>
      <c r="N67" s="1041"/>
      <c r="O67" s="2784" t="s">
        <v>2130</v>
      </c>
      <c r="P67" s="2784"/>
      <c r="Q67" s="2784"/>
      <c r="R67" s="2784"/>
      <c r="S67" s="2784"/>
      <c r="T67" s="2784"/>
      <c r="U67" s="2784"/>
      <c r="V67" s="2784"/>
      <c r="W67" s="2784"/>
      <c r="X67" s="2784"/>
      <c r="Y67" s="2784"/>
      <c r="Z67" s="2784"/>
      <c r="AA67" s="2784"/>
      <c r="AB67" s="2784"/>
      <c r="AC67" s="2784"/>
    </row>
    <row r="68" spans="1:29" ht="13.5" customHeight="1">
      <c r="A68" s="1029"/>
      <c r="B68" s="1029"/>
      <c r="C68" s="1048"/>
      <c r="D68" s="1031"/>
      <c r="E68" s="1031"/>
      <c r="F68" s="1029"/>
      <c r="G68" s="1029"/>
      <c r="H68" s="2775"/>
      <c r="I68" s="2776"/>
      <c r="J68" s="1029"/>
      <c r="K68" s="1029"/>
      <c r="L68" s="1029"/>
      <c r="M68" s="2778"/>
      <c r="O68" s="2784"/>
      <c r="P68" s="2784"/>
      <c r="Q68" s="2784"/>
      <c r="R68" s="2784"/>
      <c r="S68" s="2784"/>
      <c r="T68" s="2784"/>
      <c r="U68" s="2784"/>
      <c r="V68" s="2784"/>
      <c r="W68" s="2784"/>
      <c r="X68" s="2784"/>
      <c r="Y68" s="2784"/>
      <c r="Z68" s="2784"/>
      <c r="AA68" s="2784"/>
      <c r="AB68" s="2784"/>
      <c r="AC68" s="2784"/>
    </row>
    <row r="69" spans="1:29" ht="13.5" customHeight="1">
      <c r="A69" s="1029"/>
      <c r="B69" s="1029"/>
      <c r="C69" s="1029"/>
      <c r="D69" s="1031"/>
      <c r="E69" s="1031"/>
      <c r="G69" s="1029"/>
      <c r="H69" s="1029"/>
      <c r="I69" s="1029"/>
      <c r="J69" s="1029"/>
      <c r="K69" s="1029"/>
      <c r="L69" s="1029"/>
      <c r="M69" s="1029"/>
      <c r="O69" s="1070"/>
      <c r="P69" s="1070"/>
      <c r="Q69" s="1070"/>
      <c r="R69" s="1070"/>
      <c r="S69" s="1070"/>
      <c r="T69" s="1070"/>
      <c r="U69" s="1070"/>
      <c r="V69" s="1070"/>
      <c r="W69" s="1070"/>
      <c r="X69" s="1070"/>
      <c r="Y69" s="1070"/>
      <c r="Z69" s="1070"/>
      <c r="AA69" s="1070"/>
      <c r="AB69" s="1070"/>
      <c r="AC69" s="1070"/>
    </row>
    <row r="70" spans="1:29" ht="13.5" customHeight="1">
      <c r="A70" s="1029"/>
      <c r="B70" s="1029"/>
      <c r="C70" s="1029"/>
      <c r="D70" s="1031"/>
      <c r="E70" s="1031"/>
      <c r="G70" s="1029"/>
      <c r="H70" s="1029"/>
      <c r="I70" s="1029"/>
      <c r="J70" s="1029"/>
      <c r="K70" s="1029"/>
      <c r="L70" s="1029"/>
      <c r="M70" s="1029"/>
      <c r="O70" s="1070"/>
      <c r="P70" s="1070"/>
      <c r="Q70" s="1070"/>
      <c r="R70" s="1070"/>
      <c r="S70" s="1070"/>
      <c r="T70" s="1070"/>
      <c r="U70" s="1070"/>
      <c r="V70" s="1070"/>
      <c r="W70" s="1070"/>
      <c r="X70" s="1070"/>
      <c r="Y70" s="1070"/>
      <c r="Z70" s="1070"/>
      <c r="AA70" s="1070"/>
      <c r="AB70" s="1070"/>
      <c r="AC70" s="1070"/>
    </row>
    <row r="71" spans="1:29" ht="13.5" customHeight="1">
      <c r="A71" s="1052"/>
      <c r="B71" s="1029"/>
      <c r="C71" s="1029"/>
      <c r="D71" s="1052"/>
      <c r="E71" s="1052"/>
      <c r="F71" s="1029"/>
      <c r="G71" s="1029"/>
      <c r="H71" s="1029"/>
      <c r="I71" s="1029"/>
      <c r="J71" s="1029"/>
      <c r="K71" s="1029"/>
      <c r="L71" s="1029"/>
      <c r="M71" s="1029"/>
      <c r="O71" s="1071"/>
      <c r="P71" s="1071"/>
      <c r="Q71" s="1071"/>
      <c r="R71" s="1071"/>
      <c r="S71" s="1071"/>
      <c r="T71" s="1071"/>
      <c r="U71" s="1071"/>
      <c r="V71" s="1071"/>
      <c r="W71" s="1071"/>
      <c r="X71" s="1071"/>
      <c r="Y71" s="1071"/>
      <c r="Z71" s="1071"/>
      <c r="AA71" s="1071"/>
      <c r="AB71" s="1071"/>
      <c r="AC71" s="1071"/>
    </row>
    <row r="72" spans="1:29" ht="13.5" customHeight="1">
      <c r="A72" s="2764" t="s">
        <v>2131</v>
      </c>
      <c r="B72" s="1053"/>
      <c r="C72" s="1053"/>
      <c r="D72" s="2767" t="s">
        <v>2132</v>
      </c>
      <c r="E72" s="2768"/>
      <c r="F72" s="1054"/>
      <c r="G72" s="1029"/>
      <c r="H72" s="2773" t="s">
        <v>2133</v>
      </c>
      <c r="I72" s="2774"/>
      <c r="J72" s="1029"/>
      <c r="K72" s="1029"/>
      <c r="L72" s="1029"/>
      <c r="M72" s="2777" t="s">
        <v>2134</v>
      </c>
      <c r="N72" s="1041"/>
      <c r="O72" s="2792" t="s">
        <v>2189</v>
      </c>
      <c r="P72" s="2792"/>
      <c r="Q72" s="2792"/>
      <c r="R72" s="2792"/>
      <c r="S72" s="2792"/>
      <c r="T72" s="2792"/>
      <c r="U72" s="2792"/>
      <c r="V72" s="2792"/>
      <c r="W72" s="2792"/>
      <c r="X72" s="2792"/>
      <c r="Y72" s="2792"/>
      <c r="Z72" s="2792"/>
      <c r="AA72" s="2792"/>
      <c r="AB72" s="2792"/>
      <c r="AC72" s="2792"/>
    </row>
    <row r="73" spans="1:29" ht="13.5" customHeight="1">
      <c r="A73" s="2765"/>
      <c r="B73" s="1031"/>
      <c r="C73" s="1031"/>
      <c r="D73" s="2769"/>
      <c r="E73" s="2770"/>
      <c r="F73" s="1055"/>
      <c r="G73" s="1048"/>
      <c r="H73" s="2775"/>
      <c r="I73" s="2776"/>
      <c r="J73" s="1033"/>
      <c r="K73" s="1043"/>
      <c r="L73" s="1033"/>
      <c r="M73" s="2778"/>
      <c r="O73" s="2792"/>
      <c r="P73" s="2792"/>
      <c r="Q73" s="2792"/>
      <c r="R73" s="2792"/>
      <c r="S73" s="2792"/>
      <c r="T73" s="2792"/>
      <c r="U73" s="2792"/>
      <c r="V73" s="2792"/>
      <c r="W73" s="2792"/>
      <c r="X73" s="2792"/>
      <c r="Y73" s="2792"/>
      <c r="Z73" s="2792"/>
      <c r="AA73" s="2792"/>
      <c r="AB73" s="2792"/>
      <c r="AC73" s="2792"/>
    </row>
    <row r="74" spans="1:29" ht="13.5" customHeight="1">
      <c r="A74" s="2765"/>
      <c r="B74" s="1029"/>
      <c r="C74" s="1029"/>
      <c r="D74" s="2769"/>
      <c r="E74" s="2770"/>
      <c r="F74" s="1029"/>
      <c r="G74" s="1029"/>
      <c r="H74" s="1029"/>
      <c r="I74" s="1029"/>
      <c r="J74" s="1029"/>
      <c r="K74" s="1029"/>
      <c r="L74" s="1035"/>
      <c r="M74" s="1031"/>
      <c r="O74" s="2792"/>
      <c r="P74" s="2792"/>
      <c r="Q74" s="2792"/>
      <c r="R74" s="2792"/>
      <c r="S74" s="2792"/>
      <c r="T74" s="2792"/>
      <c r="U74" s="2792"/>
      <c r="V74" s="2792"/>
      <c r="W74" s="2792"/>
      <c r="X74" s="2792"/>
      <c r="Y74" s="2792"/>
      <c r="Z74" s="2792"/>
      <c r="AA74" s="2792"/>
      <c r="AB74" s="2792"/>
      <c r="AC74" s="2792"/>
    </row>
    <row r="75" spans="1:29" ht="13.5" customHeight="1">
      <c r="A75" s="2765"/>
      <c r="B75" s="1029"/>
      <c r="C75" s="1029"/>
      <c r="D75" s="2769"/>
      <c r="E75" s="2770"/>
      <c r="F75" s="1029"/>
      <c r="G75" s="1029"/>
      <c r="H75" s="1029"/>
      <c r="I75" s="1029"/>
      <c r="J75" s="1029"/>
      <c r="K75" s="1029"/>
      <c r="L75" s="1035"/>
      <c r="M75" s="2777" t="s">
        <v>2135</v>
      </c>
      <c r="N75" s="1041"/>
      <c r="O75" s="2792" t="s">
        <v>2136</v>
      </c>
      <c r="P75" s="2792"/>
      <c r="Q75" s="2792"/>
      <c r="R75" s="2792"/>
      <c r="S75" s="2792"/>
      <c r="T75" s="2792"/>
      <c r="U75" s="2792"/>
      <c r="V75" s="2792"/>
      <c r="W75" s="2792"/>
      <c r="X75" s="2792"/>
      <c r="Y75" s="2792"/>
      <c r="Z75" s="2792"/>
      <c r="AA75" s="2792"/>
      <c r="AB75" s="2792"/>
      <c r="AC75" s="2792"/>
    </row>
    <row r="76" spans="1:29" ht="13.5" customHeight="1">
      <c r="A76" s="2765"/>
      <c r="B76" s="1029"/>
      <c r="C76" s="1029"/>
      <c r="D76" s="2769"/>
      <c r="E76" s="2770"/>
      <c r="F76" s="1029"/>
      <c r="G76" s="1029"/>
      <c r="H76" s="1029"/>
      <c r="I76" s="1029"/>
      <c r="J76" s="1029"/>
      <c r="K76" s="1029"/>
      <c r="L76" s="1033"/>
      <c r="M76" s="2778"/>
      <c r="O76" s="2792"/>
      <c r="P76" s="2792"/>
      <c r="Q76" s="2792"/>
      <c r="R76" s="2792"/>
      <c r="S76" s="2792"/>
      <c r="T76" s="2792"/>
      <c r="U76" s="2792"/>
      <c r="V76" s="2792"/>
      <c r="W76" s="2792"/>
      <c r="X76" s="2792"/>
      <c r="Y76" s="2792"/>
      <c r="Z76" s="2792"/>
      <c r="AA76" s="2792"/>
      <c r="AB76" s="2792"/>
      <c r="AC76" s="2792"/>
    </row>
    <row r="77" spans="1:29" ht="13.5" customHeight="1">
      <c r="A77" s="2765"/>
      <c r="B77" s="1029"/>
      <c r="C77" s="1029"/>
      <c r="D77" s="2771"/>
      <c r="E77" s="2772"/>
      <c r="F77" s="1029"/>
      <c r="G77" s="1029"/>
      <c r="H77" s="1029"/>
      <c r="I77" s="1029"/>
      <c r="J77" s="1029"/>
      <c r="K77" s="1029"/>
      <c r="L77" s="1035"/>
      <c r="M77" s="1029"/>
      <c r="O77" s="2792"/>
      <c r="P77" s="2792"/>
      <c r="Q77" s="2792"/>
      <c r="R77" s="2792"/>
      <c r="S77" s="2792"/>
      <c r="T77" s="2792"/>
      <c r="U77" s="2792"/>
      <c r="V77" s="2792"/>
      <c r="W77" s="2792"/>
      <c r="X77" s="2792"/>
      <c r="Y77" s="2792"/>
      <c r="Z77" s="2792"/>
      <c r="AA77" s="2792"/>
      <c r="AB77" s="2792"/>
      <c r="AC77" s="2792"/>
    </row>
    <row r="78" spans="1:29" ht="13.5" customHeight="1">
      <c r="A78" s="2765"/>
      <c r="B78" s="1029"/>
      <c r="C78" s="1029"/>
      <c r="D78" s="1029"/>
      <c r="E78" s="1029"/>
      <c r="F78" s="1029"/>
      <c r="G78" s="1029"/>
      <c r="H78" s="1029"/>
      <c r="I78" s="1029"/>
      <c r="J78" s="1029"/>
      <c r="K78" s="1029"/>
      <c r="L78" s="1035"/>
      <c r="M78" s="1029"/>
      <c r="O78" s="2792"/>
      <c r="P78" s="2792"/>
      <c r="Q78" s="2792"/>
      <c r="R78" s="2792"/>
      <c r="S78" s="2792"/>
      <c r="T78" s="2792"/>
      <c r="U78" s="2792"/>
      <c r="V78" s="2792"/>
      <c r="W78" s="2792"/>
      <c r="X78" s="2792"/>
      <c r="Y78" s="2792"/>
      <c r="Z78" s="2792"/>
      <c r="AA78" s="2792"/>
      <c r="AB78" s="2792"/>
      <c r="AC78" s="2792"/>
    </row>
    <row r="79" spans="1:29" ht="13.5" customHeight="1">
      <c r="A79" s="2766"/>
      <c r="B79" s="1029"/>
      <c r="C79" s="1029"/>
      <c r="D79" s="1029"/>
      <c r="E79" s="1029"/>
      <c r="F79" s="1029"/>
      <c r="G79" s="1029"/>
      <c r="H79" s="1029"/>
      <c r="I79" s="1029"/>
      <c r="J79" s="1029"/>
      <c r="K79" s="1029"/>
      <c r="L79" s="1036"/>
      <c r="M79" s="2777" t="s">
        <v>2137</v>
      </c>
      <c r="N79" s="1041"/>
      <c r="O79" s="2784" t="s">
        <v>2138</v>
      </c>
      <c r="P79" s="2784"/>
      <c r="Q79" s="2784"/>
      <c r="R79" s="2784"/>
      <c r="S79" s="2784"/>
      <c r="T79" s="2784"/>
      <c r="U79" s="2784"/>
      <c r="V79" s="2784"/>
      <c r="W79" s="2784"/>
      <c r="X79" s="2784"/>
      <c r="Y79" s="2784"/>
      <c r="Z79" s="2784"/>
      <c r="AA79" s="2784"/>
      <c r="AB79" s="2784"/>
      <c r="AC79" s="2784"/>
    </row>
    <row r="80" spans="1:29" ht="13.5" customHeight="1">
      <c r="A80" s="1029"/>
      <c r="B80" s="1029"/>
      <c r="C80" s="1029"/>
      <c r="D80" s="1029"/>
      <c r="E80" s="1029"/>
      <c r="F80" s="1029"/>
      <c r="G80" s="1029"/>
      <c r="H80" s="1029"/>
      <c r="I80" s="1029"/>
      <c r="J80" s="1029"/>
      <c r="K80" s="1029"/>
      <c r="L80" s="1035"/>
      <c r="M80" s="2778"/>
      <c r="O80" s="2784"/>
      <c r="P80" s="2784"/>
      <c r="Q80" s="2784"/>
      <c r="R80" s="2784"/>
      <c r="S80" s="2784"/>
      <c r="T80" s="2784"/>
      <c r="U80" s="2784"/>
      <c r="V80" s="2784"/>
      <c r="W80" s="2784"/>
      <c r="X80" s="2784"/>
      <c r="Y80" s="2784"/>
      <c r="Z80" s="2784"/>
      <c r="AA80" s="2784"/>
      <c r="AB80" s="2784"/>
      <c r="AC80" s="2784"/>
    </row>
    <row r="81" spans="1:29" ht="13.5" customHeight="1">
      <c r="A81" s="1029"/>
      <c r="B81" s="1029"/>
      <c r="C81" s="1029"/>
      <c r="D81" s="1029"/>
      <c r="E81" s="1029"/>
      <c r="F81" s="1029"/>
      <c r="G81" s="1029"/>
      <c r="H81" s="1029"/>
      <c r="I81" s="1029"/>
      <c r="J81" s="1029"/>
      <c r="K81" s="1029"/>
      <c r="L81" s="1035"/>
      <c r="M81" s="1029"/>
      <c r="O81" s="1070"/>
      <c r="P81" s="1070"/>
      <c r="Q81" s="1070"/>
      <c r="R81" s="1070"/>
      <c r="S81" s="1070"/>
      <c r="T81" s="1070"/>
      <c r="U81" s="1070"/>
      <c r="V81" s="1070"/>
      <c r="W81" s="1070"/>
      <c r="X81" s="1070"/>
      <c r="Y81" s="1070"/>
      <c r="Z81" s="1070"/>
      <c r="AA81" s="1070"/>
      <c r="AB81" s="1070"/>
      <c r="AC81" s="1070"/>
    </row>
    <row r="82" spans="1:29" ht="13.5" customHeight="1">
      <c r="A82" s="1029"/>
      <c r="B82" s="1029"/>
      <c r="C82" s="1029"/>
      <c r="D82" s="1029"/>
      <c r="E82" s="1029"/>
      <c r="F82" s="1029"/>
      <c r="G82" s="1029"/>
      <c r="H82" s="1029"/>
      <c r="I82" s="1029"/>
      <c r="J82" s="1029"/>
      <c r="K82" s="1029"/>
      <c r="L82" s="1036"/>
      <c r="M82" s="2782" t="s">
        <v>2139</v>
      </c>
      <c r="O82" s="1070"/>
      <c r="P82" s="1070"/>
      <c r="Q82" s="1070"/>
      <c r="R82" s="1070"/>
      <c r="S82" s="1070"/>
      <c r="T82" s="1070"/>
      <c r="U82" s="1070"/>
      <c r="V82" s="1070"/>
      <c r="W82" s="1070"/>
      <c r="X82" s="1070"/>
      <c r="Y82" s="1070"/>
      <c r="Z82" s="1070"/>
      <c r="AA82" s="1070"/>
      <c r="AB82" s="1070"/>
      <c r="AC82" s="1070"/>
    </row>
    <row r="83" spans="1:29" ht="13.5" customHeight="1">
      <c r="A83" s="1029"/>
      <c r="B83" s="1029"/>
      <c r="C83" s="1029"/>
      <c r="D83" s="1029"/>
      <c r="E83" s="1029"/>
      <c r="F83" s="1029"/>
      <c r="G83" s="1029"/>
      <c r="H83" s="1029"/>
      <c r="I83" s="1029"/>
      <c r="J83" s="1029"/>
      <c r="K83" s="1029"/>
      <c r="L83" s="1038"/>
      <c r="M83" s="2783"/>
      <c r="O83" s="1070"/>
      <c r="P83" s="1070"/>
      <c r="Q83" s="1070"/>
      <c r="R83" s="1070"/>
      <c r="S83" s="1070"/>
      <c r="T83" s="1070"/>
      <c r="U83" s="1070"/>
      <c r="V83" s="1070"/>
      <c r="W83" s="1070"/>
      <c r="X83" s="1070"/>
      <c r="Y83" s="1070"/>
      <c r="Z83" s="1070"/>
      <c r="AA83" s="1070"/>
      <c r="AB83" s="1070"/>
      <c r="AC83" s="1070"/>
    </row>
    <row r="84" spans="1:29" ht="13.5" customHeight="1">
      <c r="A84" s="1029"/>
      <c r="B84" s="1029"/>
      <c r="C84" s="1029"/>
      <c r="D84" s="1029"/>
      <c r="E84" s="1029"/>
      <c r="F84" s="1029"/>
      <c r="G84" s="1029"/>
      <c r="H84" s="1029"/>
      <c r="I84" s="1029"/>
      <c r="J84" s="1029"/>
      <c r="K84" s="1029"/>
      <c r="L84" s="1035"/>
      <c r="M84" s="1029"/>
      <c r="O84" s="1070"/>
      <c r="P84" s="1070"/>
      <c r="Q84" s="1070"/>
      <c r="R84" s="1070"/>
      <c r="S84" s="1070"/>
      <c r="T84" s="1070"/>
      <c r="U84" s="1070"/>
      <c r="V84" s="1070"/>
      <c r="W84" s="1070"/>
      <c r="X84" s="1070"/>
      <c r="Y84" s="1070"/>
      <c r="Z84" s="1070"/>
      <c r="AA84" s="1070"/>
      <c r="AB84" s="1070"/>
      <c r="AC84" s="1070"/>
    </row>
    <row r="85" spans="1:29" ht="13.5" customHeight="1">
      <c r="A85" s="1029"/>
      <c r="B85" s="1029"/>
      <c r="C85" s="1029"/>
      <c r="I85" s="1029"/>
      <c r="J85" s="1029"/>
      <c r="K85" s="1029"/>
      <c r="L85" s="1036"/>
      <c r="M85" s="2777" t="s">
        <v>2140</v>
      </c>
      <c r="O85" s="1070"/>
      <c r="P85" s="1070"/>
      <c r="Q85" s="1070"/>
      <c r="R85" s="1070"/>
      <c r="S85" s="1070"/>
      <c r="T85" s="1070"/>
      <c r="U85" s="1070"/>
      <c r="V85" s="1070"/>
      <c r="W85" s="1070"/>
      <c r="X85" s="1070"/>
      <c r="Y85" s="1070"/>
      <c r="Z85" s="1070"/>
      <c r="AA85" s="1070"/>
      <c r="AB85" s="1070"/>
      <c r="AC85" s="1070"/>
    </row>
    <row r="86" spans="1:29" ht="13.5" customHeight="1">
      <c r="A86" s="1029"/>
      <c r="B86" s="1029"/>
      <c r="C86" s="1029"/>
      <c r="I86" s="1029"/>
      <c r="J86" s="1029"/>
      <c r="K86" s="1029"/>
      <c r="L86" s="1043"/>
      <c r="M86" s="2778"/>
      <c r="O86" s="1070"/>
      <c r="P86" s="1070"/>
      <c r="Q86" s="1070"/>
      <c r="R86" s="1070"/>
      <c r="S86" s="1070"/>
      <c r="T86" s="1070"/>
      <c r="U86" s="1070"/>
      <c r="V86" s="1070"/>
      <c r="W86" s="1070"/>
      <c r="X86" s="1070"/>
      <c r="Y86" s="1070"/>
      <c r="Z86" s="1070"/>
      <c r="AA86" s="1070"/>
      <c r="AB86" s="1070"/>
      <c r="AC86" s="1070"/>
    </row>
    <row r="87" spans="1:29" ht="13.5" customHeight="1">
      <c r="A87" s="1029"/>
      <c r="B87" s="1029"/>
      <c r="C87" s="1029"/>
      <c r="I87" s="1029"/>
      <c r="J87" s="1029"/>
      <c r="K87" s="1029"/>
      <c r="L87" s="1029"/>
      <c r="M87" s="1029"/>
      <c r="O87" s="1070"/>
      <c r="P87" s="1070"/>
      <c r="Q87" s="1070"/>
      <c r="R87" s="1070"/>
      <c r="S87" s="1070"/>
      <c r="T87" s="1070"/>
      <c r="U87" s="1070"/>
      <c r="V87" s="1070"/>
      <c r="W87" s="1070"/>
      <c r="X87" s="1070"/>
      <c r="Y87" s="1070"/>
      <c r="Z87" s="1070"/>
      <c r="AA87" s="1070"/>
      <c r="AB87" s="1070"/>
      <c r="AC87" s="1070"/>
    </row>
    <row r="88" spans="1:29" ht="13.5" customHeight="1">
      <c r="A88" s="1029"/>
      <c r="B88" s="1029"/>
      <c r="C88" s="1029"/>
      <c r="I88" s="1029"/>
      <c r="J88" s="1029"/>
      <c r="K88" s="1029"/>
      <c r="L88" s="1029"/>
      <c r="M88" s="1029"/>
      <c r="O88" s="1070"/>
      <c r="P88" s="1070"/>
      <c r="Q88" s="1070"/>
      <c r="R88" s="1070"/>
      <c r="S88" s="1070"/>
      <c r="T88" s="1070"/>
      <c r="U88" s="1070"/>
      <c r="V88" s="1070"/>
      <c r="W88" s="1070"/>
      <c r="X88" s="1070"/>
      <c r="Y88" s="1070"/>
      <c r="Z88" s="1070"/>
      <c r="AA88" s="1070"/>
      <c r="AB88" s="1070"/>
      <c r="AC88" s="1070"/>
    </row>
    <row r="89" spans="1:29" ht="13.5" customHeight="1">
      <c r="A89" s="1029"/>
      <c r="B89" s="1029"/>
      <c r="C89" s="1029"/>
      <c r="D89" s="1029"/>
      <c r="E89" s="1029"/>
      <c r="F89" s="1029"/>
      <c r="G89" s="1029"/>
      <c r="H89" s="1029"/>
      <c r="I89" s="1029"/>
      <c r="J89" s="1029"/>
      <c r="K89" s="1029"/>
      <c r="L89" s="1029"/>
      <c r="M89" s="1029"/>
      <c r="O89" s="1070"/>
      <c r="P89" s="1070"/>
      <c r="Q89" s="1070"/>
      <c r="R89" s="1070"/>
      <c r="S89" s="1070"/>
      <c r="T89" s="1070"/>
      <c r="U89" s="1070"/>
      <c r="V89" s="1070"/>
      <c r="W89" s="1070"/>
      <c r="X89" s="1070"/>
      <c r="Y89" s="1070"/>
      <c r="Z89" s="1070"/>
      <c r="AA89" s="1070"/>
      <c r="AB89" s="1070"/>
      <c r="AC89" s="1070"/>
    </row>
    <row r="90" spans="1:29" ht="13.5" customHeight="1">
      <c r="A90" s="2793" t="s">
        <v>2141</v>
      </c>
      <c r="B90" s="1030"/>
      <c r="C90" s="1029"/>
      <c r="D90" s="2796" t="s">
        <v>2142</v>
      </c>
      <c r="E90" s="2797"/>
      <c r="F90" s="1041"/>
      <c r="G90" s="1032"/>
      <c r="H90" s="2773" t="s">
        <v>2143</v>
      </c>
      <c r="I90" s="2774"/>
      <c r="J90" s="1035"/>
      <c r="K90" s="1029"/>
      <c r="L90" s="1029"/>
      <c r="M90" s="2777" t="s">
        <v>2144</v>
      </c>
      <c r="N90" s="1041"/>
      <c r="O90" s="2786" t="s">
        <v>2190</v>
      </c>
      <c r="P90" s="2786"/>
      <c r="Q90" s="2786"/>
      <c r="R90" s="2786"/>
      <c r="S90" s="2786"/>
      <c r="T90" s="2786"/>
      <c r="U90" s="2786"/>
      <c r="V90" s="2786"/>
      <c r="W90" s="2786"/>
      <c r="X90" s="2786"/>
      <c r="Y90" s="2786"/>
      <c r="Z90" s="2786"/>
      <c r="AA90" s="2786"/>
      <c r="AB90" s="2786"/>
      <c r="AC90" s="2786"/>
    </row>
    <row r="91" spans="1:29" ht="13.5" customHeight="1">
      <c r="A91" s="2794"/>
      <c r="B91" s="1029"/>
      <c r="C91" s="1048"/>
      <c r="D91" s="2798"/>
      <c r="E91" s="2799"/>
      <c r="G91" s="1056"/>
      <c r="H91" s="2775"/>
      <c r="I91" s="2776"/>
      <c r="J91" s="1035"/>
      <c r="K91" s="1029"/>
      <c r="L91" s="1033"/>
      <c r="M91" s="2778"/>
      <c r="O91" s="2786"/>
      <c r="P91" s="2786"/>
      <c r="Q91" s="2786"/>
      <c r="R91" s="2786"/>
      <c r="S91" s="2786"/>
      <c r="T91" s="2786"/>
      <c r="U91" s="2786"/>
      <c r="V91" s="2786"/>
      <c r="W91" s="2786"/>
      <c r="X91" s="2786"/>
      <c r="Y91" s="2786"/>
      <c r="Z91" s="2786"/>
      <c r="AA91" s="2786"/>
      <c r="AB91" s="2786"/>
      <c r="AC91" s="2786"/>
    </row>
    <row r="92" spans="1:29" ht="13.5" customHeight="1">
      <c r="A92" s="2794"/>
      <c r="B92" s="1029"/>
      <c r="C92" s="1029"/>
      <c r="D92" s="2798"/>
      <c r="E92" s="2799"/>
      <c r="G92" s="1050"/>
      <c r="J92" s="1029"/>
      <c r="K92" s="1044"/>
      <c r="L92" s="1035"/>
      <c r="M92" s="1031"/>
      <c r="O92" s="2786"/>
      <c r="P92" s="2786"/>
      <c r="Q92" s="2786"/>
      <c r="R92" s="2786"/>
      <c r="S92" s="2786"/>
      <c r="T92" s="2786"/>
      <c r="U92" s="2786"/>
      <c r="V92" s="2786"/>
      <c r="W92" s="2786"/>
      <c r="X92" s="2786"/>
      <c r="Y92" s="2786"/>
      <c r="Z92" s="2786"/>
      <c r="AA92" s="2786"/>
      <c r="AB92" s="2786"/>
      <c r="AC92" s="2786"/>
    </row>
    <row r="93" spans="1:29" ht="13.5" customHeight="1">
      <c r="A93" s="2794"/>
      <c r="C93" s="1029"/>
      <c r="D93" s="2798"/>
      <c r="E93" s="2799"/>
      <c r="G93" s="1050"/>
      <c r="J93" s="1029"/>
      <c r="K93" s="1044"/>
      <c r="L93" s="1035"/>
      <c r="M93" s="1029"/>
      <c r="O93" s="2786"/>
      <c r="P93" s="2786"/>
      <c r="Q93" s="2786"/>
      <c r="R93" s="2786"/>
      <c r="S93" s="2786"/>
      <c r="T93" s="2786"/>
      <c r="U93" s="2786"/>
      <c r="V93" s="2786"/>
      <c r="W93" s="2786"/>
      <c r="X93" s="2786"/>
      <c r="Y93" s="2786"/>
      <c r="Z93" s="2786"/>
      <c r="AA93" s="2786"/>
      <c r="AB93" s="2786"/>
      <c r="AC93" s="2786"/>
    </row>
    <row r="94" spans="1:29" ht="13.5" customHeight="1">
      <c r="A94" s="2794"/>
      <c r="C94" s="1029"/>
      <c r="D94" s="2798"/>
      <c r="E94" s="2799"/>
      <c r="G94" s="1057"/>
      <c r="H94" s="2773" t="s">
        <v>2145</v>
      </c>
      <c r="I94" s="2774"/>
      <c r="J94" s="1029"/>
      <c r="K94" s="1044"/>
      <c r="L94" s="1035"/>
      <c r="M94" s="2777" t="s">
        <v>2146</v>
      </c>
      <c r="N94" s="1041"/>
      <c r="O94" s="2784" t="s">
        <v>2191</v>
      </c>
      <c r="P94" s="2784"/>
      <c r="Q94" s="2784"/>
      <c r="R94" s="2784"/>
      <c r="S94" s="2784"/>
      <c r="T94" s="2784"/>
      <c r="U94" s="2784"/>
      <c r="V94" s="2784"/>
      <c r="W94" s="2784"/>
      <c r="X94" s="2784"/>
      <c r="Y94" s="2784"/>
      <c r="Z94" s="2784"/>
      <c r="AA94" s="2784"/>
      <c r="AB94" s="2784"/>
      <c r="AC94" s="2784"/>
    </row>
    <row r="95" spans="1:29" ht="13.5" customHeight="1">
      <c r="A95" s="2794"/>
      <c r="C95" s="1029"/>
      <c r="D95" s="2800"/>
      <c r="E95" s="2801"/>
      <c r="G95" s="1050"/>
      <c r="H95" s="2775"/>
      <c r="I95" s="2776"/>
      <c r="J95" s="1029"/>
      <c r="K95" s="1044"/>
      <c r="L95" s="1033"/>
      <c r="M95" s="2778"/>
      <c r="O95" s="2784"/>
      <c r="P95" s="2784"/>
      <c r="Q95" s="2784"/>
      <c r="R95" s="2784"/>
      <c r="S95" s="2784"/>
      <c r="T95" s="2784"/>
      <c r="U95" s="2784"/>
      <c r="V95" s="2784"/>
      <c r="W95" s="2784"/>
      <c r="X95" s="2784"/>
      <c r="Y95" s="2784"/>
      <c r="Z95" s="2784"/>
      <c r="AA95" s="2784"/>
      <c r="AB95" s="2784"/>
      <c r="AC95" s="2784"/>
    </row>
    <row r="96" spans="1:29" ht="13.5" customHeight="1">
      <c r="A96" s="2794"/>
      <c r="G96" s="1050"/>
      <c r="J96" s="1029"/>
      <c r="K96" s="1044"/>
      <c r="L96" s="1035"/>
      <c r="M96" s="1029"/>
      <c r="O96" s="1070"/>
      <c r="P96" s="1070"/>
      <c r="Q96" s="1070"/>
      <c r="R96" s="1070"/>
      <c r="S96" s="1070"/>
      <c r="T96" s="1070"/>
      <c r="U96" s="1070"/>
      <c r="V96" s="1070"/>
      <c r="W96" s="1070"/>
      <c r="X96" s="1070"/>
      <c r="Y96" s="1070"/>
      <c r="Z96" s="1070"/>
      <c r="AA96" s="1070"/>
      <c r="AB96" s="1070"/>
      <c r="AC96" s="1070"/>
    </row>
    <row r="97" spans="1:29" ht="13.5" customHeight="1">
      <c r="A97" s="2794"/>
      <c r="G97" s="1050"/>
      <c r="J97" s="1029"/>
      <c r="K97" s="1044"/>
      <c r="L97" s="1036"/>
      <c r="M97" s="2777" t="s">
        <v>2147</v>
      </c>
      <c r="O97" s="2792" t="s">
        <v>2148</v>
      </c>
      <c r="P97" s="2792"/>
      <c r="Q97" s="2792"/>
      <c r="R97" s="2792"/>
      <c r="S97" s="2792"/>
      <c r="T97" s="2792"/>
      <c r="U97" s="2792"/>
      <c r="V97" s="2792"/>
      <c r="W97" s="2792"/>
      <c r="X97" s="2792"/>
      <c r="Y97" s="2792"/>
      <c r="Z97" s="2792"/>
      <c r="AA97" s="2792"/>
      <c r="AB97" s="2792"/>
      <c r="AC97" s="2792"/>
    </row>
    <row r="98" spans="1:29" ht="13.5" customHeight="1">
      <c r="A98" s="2794"/>
      <c r="G98" s="1050"/>
      <c r="J98" s="1029"/>
      <c r="K98" s="1044"/>
      <c r="L98" s="1035"/>
      <c r="M98" s="2778"/>
      <c r="N98" s="1040"/>
      <c r="O98" s="2792"/>
      <c r="P98" s="2792"/>
      <c r="Q98" s="2792"/>
      <c r="R98" s="2792"/>
      <c r="S98" s="2792"/>
      <c r="T98" s="2792"/>
      <c r="U98" s="2792"/>
      <c r="V98" s="2792"/>
      <c r="W98" s="2792"/>
      <c r="X98" s="2792"/>
      <c r="Y98" s="2792"/>
      <c r="Z98" s="2792"/>
      <c r="AA98" s="2792"/>
      <c r="AB98" s="2792"/>
      <c r="AC98" s="2792"/>
    </row>
    <row r="99" spans="1:29" ht="13.5" customHeight="1">
      <c r="A99" s="2794"/>
      <c r="G99" s="1050"/>
      <c r="J99" s="1029"/>
      <c r="K99" s="1044"/>
      <c r="L99" s="1035"/>
      <c r="M99" s="1029"/>
      <c r="O99" s="2792"/>
      <c r="P99" s="2792"/>
      <c r="Q99" s="2792"/>
      <c r="R99" s="2792"/>
      <c r="S99" s="2792"/>
      <c r="T99" s="2792"/>
      <c r="U99" s="2792"/>
      <c r="V99" s="2792"/>
      <c r="W99" s="2792"/>
      <c r="X99" s="2792"/>
      <c r="Y99" s="2792"/>
      <c r="Z99" s="2792"/>
      <c r="AA99" s="2792"/>
      <c r="AB99" s="2792"/>
      <c r="AC99" s="2792"/>
    </row>
    <row r="100" spans="1:29" ht="13.5" customHeight="1">
      <c r="A100" s="2794"/>
      <c r="G100" s="1050"/>
      <c r="J100" s="1029"/>
      <c r="K100" s="1044"/>
      <c r="L100" s="1035"/>
      <c r="M100" s="2777" t="s">
        <v>2149</v>
      </c>
      <c r="N100" s="1041"/>
      <c r="O100" s="2784" t="s">
        <v>2150</v>
      </c>
      <c r="P100" s="2784"/>
      <c r="Q100" s="2784"/>
      <c r="R100" s="2784"/>
      <c r="S100" s="2784"/>
      <c r="T100" s="2784"/>
      <c r="U100" s="2784"/>
      <c r="V100" s="2784"/>
      <c r="W100" s="2784"/>
      <c r="X100" s="2784"/>
      <c r="Y100" s="2784"/>
      <c r="Z100" s="2784"/>
      <c r="AA100" s="2784"/>
      <c r="AB100" s="2784"/>
      <c r="AC100" s="2784"/>
    </row>
    <row r="101" spans="1:29" ht="13.5" customHeight="1">
      <c r="A101" s="2794"/>
      <c r="B101" s="1029"/>
      <c r="G101" s="1050"/>
      <c r="J101" s="1029"/>
      <c r="K101" s="1044"/>
      <c r="L101" s="1033"/>
      <c r="M101" s="2778"/>
      <c r="O101" s="2784"/>
      <c r="P101" s="2784"/>
      <c r="Q101" s="2784"/>
      <c r="R101" s="2784"/>
      <c r="S101" s="2784"/>
      <c r="T101" s="2784"/>
      <c r="U101" s="2784"/>
      <c r="V101" s="2784"/>
      <c r="W101" s="2784"/>
      <c r="X101" s="2784"/>
      <c r="Y101" s="2784"/>
      <c r="Z101" s="2784"/>
      <c r="AA101" s="2784"/>
      <c r="AB101" s="2784"/>
      <c r="AC101" s="2784"/>
    </row>
    <row r="102" spans="1:29" ht="13.5" customHeight="1">
      <c r="A102" s="2794"/>
      <c r="B102" s="1029"/>
      <c r="G102" s="1041"/>
      <c r="H102" s="1032"/>
      <c r="I102" s="1032"/>
      <c r="J102" s="1030"/>
      <c r="K102" s="1047"/>
      <c r="L102" s="1035"/>
      <c r="M102" s="1029"/>
      <c r="O102" s="1070"/>
      <c r="P102" s="1070"/>
      <c r="Q102" s="1070"/>
      <c r="R102" s="1070"/>
      <c r="S102" s="1070"/>
      <c r="T102" s="1070"/>
      <c r="U102" s="1070"/>
      <c r="V102" s="1070"/>
      <c r="W102" s="1070"/>
      <c r="X102" s="1070"/>
      <c r="Y102" s="1070"/>
      <c r="Z102" s="1070"/>
      <c r="AA102" s="1070"/>
      <c r="AB102" s="1070"/>
      <c r="AC102" s="1070"/>
    </row>
    <row r="103" spans="1:29" ht="13.5" customHeight="1">
      <c r="A103" s="2794"/>
      <c r="B103" s="1029"/>
      <c r="G103" s="1040"/>
      <c r="J103" s="1029"/>
      <c r="K103" s="1029"/>
      <c r="L103" s="1035"/>
      <c r="M103" s="2802" t="s">
        <v>2151</v>
      </c>
      <c r="O103" s="2804" t="s">
        <v>2152</v>
      </c>
      <c r="P103" s="2804"/>
      <c r="Q103" s="2804"/>
      <c r="R103" s="2804"/>
      <c r="S103" s="2804"/>
      <c r="T103" s="2804"/>
      <c r="U103" s="2804"/>
      <c r="V103" s="2804"/>
      <c r="W103" s="2804"/>
      <c r="X103" s="2804"/>
      <c r="Y103" s="2804"/>
      <c r="Z103" s="2804"/>
      <c r="AA103" s="2804"/>
      <c r="AB103" s="2804"/>
      <c r="AC103" s="2804"/>
    </row>
    <row r="104" spans="1:29" ht="13.5" customHeight="1">
      <c r="A104" s="2794"/>
      <c r="B104" s="1029"/>
      <c r="G104" s="1050"/>
      <c r="J104" s="1029"/>
      <c r="K104" s="1029"/>
      <c r="L104" s="1038"/>
      <c r="M104" s="2803"/>
      <c r="N104" s="1040"/>
      <c r="O104" s="2804"/>
      <c r="P104" s="2804"/>
      <c r="Q104" s="2804"/>
      <c r="R104" s="2804"/>
      <c r="S104" s="2804"/>
      <c r="T104" s="2804"/>
      <c r="U104" s="2804"/>
      <c r="V104" s="2804"/>
      <c r="W104" s="2804"/>
      <c r="X104" s="2804"/>
      <c r="Y104" s="2804"/>
      <c r="Z104" s="2804"/>
      <c r="AA104" s="2804"/>
      <c r="AB104" s="2804"/>
      <c r="AC104" s="2804"/>
    </row>
    <row r="105" spans="1:29" ht="13.5" customHeight="1">
      <c r="A105" s="2794"/>
      <c r="B105" s="1029"/>
      <c r="G105" s="1050"/>
      <c r="J105" s="1029"/>
      <c r="K105" s="1029"/>
      <c r="L105" s="1035"/>
      <c r="M105" s="1060"/>
      <c r="O105" s="1072"/>
      <c r="P105" s="1072"/>
      <c r="Q105" s="1072"/>
      <c r="R105" s="1072"/>
      <c r="S105" s="1072"/>
      <c r="T105" s="1072"/>
      <c r="U105" s="1072"/>
      <c r="V105" s="1072"/>
      <c r="W105" s="1072"/>
      <c r="X105" s="1072"/>
      <c r="Y105" s="1072"/>
      <c r="Z105" s="1072"/>
      <c r="AA105" s="1072"/>
      <c r="AB105" s="1072"/>
      <c r="AC105" s="1072"/>
    </row>
    <row r="106" spans="1:29" ht="13.5" customHeight="1">
      <c r="A106" s="2794"/>
      <c r="B106" s="1029"/>
      <c r="G106" s="1050"/>
      <c r="J106" s="1029"/>
      <c r="K106" s="1029"/>
      <c r="L106" s="1035"/>
      <c r="M106" s="2802" t="s">
        <v>2153</v>
      </c>
      <c r="O106" s="2805" t="s">
        <v>2154</v>
      </c>
      <c r="P106" s="2805"/>
      <c r="Q106" s="2805"/>
      <c r="R106" s="2805"/>
      <c r="S106" s="2805"/>
      <c r="T106" s="2805"/>
      <c r="U106" s="2805"/>
      <c r="V106" s="2805"/>
      <c r="W106" s="2805"/>
      <c r="X106" s="2805"/>
      <c r="Y106" s="2805"/>
      <c r="Z106" s="2805"/>
      <c r="AA106" s="2805"/>
      <c r="AB106" s="2805"/>
      <c r="AC106" s="2805"/>
    </row>
    <row r="107" spans="1:29" ht="13.5" customHeight="1">
      <c r="A107" s="2794"/>
      <c r="B107" s="1029"/>
      <c r="G107" s="1050"/>
      <c r="J107" s="1029"/>
      <c r="K107" s="1029"/>
      <c r="L107" s="1038"/>
      <c r="M107" s="2803"/>
      <c r="N107" s="1040"/>
      <c r="O107" s="2805"/>
      <c r="P107" s="2805"/>
      <c r="Q107" s="2805"/>
      <c r="R107" s="2805"/>
      <c r="S107" s="2805"/>
      <c r="T107" s="2805"/>
      <c r="U107" s="2805"/>
      <c r="V107" s="2805"/>
      <c r="W107" s="2805"/>
      <c r="X107" s="2805"/>
      <c r="Y107" s="2805"/>
      <c r="Z107" s="2805"/>
      <c r="AA107" s="2805"/>
      <c r="AB107" s="2805"/>
      <c r="AC107" s="2805"/>
    </row>
    <row r="108" spans="1:29" ht="13.5" customHeight="1">
      <c r="A108" s="2794"/>
      <c r="B108" s="1029"/>
      <c r="G108" s="1050"/>
      <c r="J108" s="1029"/>
      <c r="K108" s="1029"/>
      <c r="L108" s="1035"/>
      <c r="M108" s="1029"/>
      <c r="O108" s="1070"/>
      <c r="P108" s="1070"/>
      <c r="Q108" s="1070"/>
      <c r="R108" s="1070"/>
      <c r="S108" s="1070"/>
      <c r="T108" s="1070"/>
      <c r="U108" s="1070"/>
      <c r="V108" s="1070"/>
      <c r="W108" s="1070"/>
      <c r="X108" s="1070"/>
      <c r="Y108" s="1070"/>
      <c r="Z108" s="1070"/>
      <c r="AA108" s="1070"/>
      <c r="AB108" s="1070"/>
      <c r="AC108" s="1070"/>
    </row>
    <row r="109" spans="1:29" ht="13.5" customHeight="1">
      <c r="A109" s="2794"/>
      <c r="B109" s="1029"/>
      <c r="G109" s="1050"/>
      <c r="J109" s="1029"/>
      <c r="K109" s="1029"/>
      <c r="L109" s="1035"/>
      <c r="M109" s="2777" t="s">
        <v>2155</v>
      </c>
      <c r="O109" s="2804" t="s">
        <v>2156</v>
      </c>
      <c r="P109" s="2804"/>
      <c r="Q109" s="2804"/>
      <c r="R109" s="2804"/>
      <c r="S109" s="2804"/>
      <c r="T109" s="2804"/>
      <c r="U109" s="2804"/>
      <c r="V109" s="2804"/>
      <c r="W109" s="2804"/>
      <c r="X109" s="2804"/>
      <c r="Y109" s="2804"/>
      <c r="Z109" s="2804"/>
      <c r="AA109" s="2804"/>
      <c r="AB109" s="2804"/>
      <c r="AC109" s="2804"/>
    </row>
    <row r="110" spans="1:29" ht="13.5" customHeight="1">
      <c r="A110" s="2794"/>
      <c r="B110" s="1029"/>
      <c r="C110" s="1029"/>
      <c r="E110" s="1029"/>
      <c r="G110" s="1050"/>
      <c r="J110" s="1029"/>
      <c r="K110" s="1029"/>
      <c r="L110" s="1038"/>
      <c r="M110" s="2778"/>
      <c r="N110" s="1040"/>
      <c r="O110" s="2804"/>
      <c r="P110" s="2804"/>
      <c r="Q110" s="2804"/>
      <c r="R110" s="2804"/>
      <c r="S110" s="2804"/>
      <c r="T110" s="2804"/>
      <c r="U110" s="2804"/>
      <c r="V110" s="2804"/>
      <c r="W110" s="2804"/>
      <c r="X110" s="2804"/>
      <c r="Y110" s="2804"/>
      <c r="Z110" s="2804"/>
      <c r="AA110" s="2804"/>
      <c r="AB110" s="2804"/>
      <c r="AC110" s="2804"/>
    </row>
    <row r="111" spans="1:29" ht="13.5" customHeight="1">
      <c r="A111" s="2795"/>
      <c r="B111" s="1029"/>
      <c r="C111" s="1029"/>
      <c r="D111" s="1029"/>
      <c r="E111" s="1029"/>
      <c r="G111" s="1050"/>
      <c r="J111" s="1029"/>
      <c r="K111" s="1029"/>
      <c r="L111" s="1035"/>
      <c r="M111" s="1029"/>
      <c r="O111" s="1070"/>
      <c r="P111" s="1070"/>
      <c r="Q111" s="1070"/>
      <c r="R111" s="1070"/>
      <c r="S111" s="1070"/>
      <c r="T111" s="1070"/>
      <c r="U111" s="1070"/>
      <c r="V111" s="1070"/>
      <c r="W111" s="1070"/>
      <c r="X111" s="1070"/>
      <c r="Y111" s="1070"/>
      <c r="Z111" s="1070"/>
      <c r="AA111" s="1070"/>
      <c r="AB111" s="1070"/>
      <c r="AC111" s="1070"/>
    </row>
    <row r="112" spans="1:29" ht="13.5" customHeight="1">
      <c r="A112" s="1061"/>
      <c r="B112" s="1029"/>
      <c r="C112" s="1029"/>
      <c r="D112" s="1029"/>
      <c r="E112" s="1029"/>
      <c r="F112" s="1059"/>
      <c r="G112" s="1058"/>
      <c r="H112" s="1059"/>
      <c r="I112" s="1059"/>
      <c r="J112" s="1029"/>
      <c r="K112" s="1029"/>
      <c r="L112" s="1036"/>
      <c r="M112" s="2777" t="s">
        <v>2157</v>
      </c>
      <c r="N112" s="1041"/>
      <c r="O112" s="2804" t="s">
        <v>2158</v>
      </c>
      <c r="P112" s="2804"/>
      <c r="Q112" s="2804"/>
      <c r="R112" s="2804"/>
      <c r="S112" s="2804"/>
      <c r="T112" s="2804"/>
      <c r="U112" s="2804"/>
      <c r="V112" s="2804"/>
      <c r="W112" s="2804"/>
      <c r="X112" s="2804"/>
      <c r="Y112" s="2804"/>
      <c r="Z112" s="2804"/>
      <c r="AA112" s="2804"/>
      <c r="AB112" s="2804"/>
      <c r="AC112" s="2804"/>
    </row>
    <row r="113" spans="1:29" ht="13.5" customHeight="1">
      <c r="A113" s="1062"/>
      <c r="B113" s="1029"/>
      <c r="C113" s="1029"/>
      <c r="D113" s="1029"/>
      <c r="E113" s="1029"/>
      <c r="F113" s="1029"/>
      <c r="G113" s="1035"/>
      <c r="H113" s="1029"/>
      <c r="I113" s="1029"/>
      <c r="J113" s="1029"/>
      <c r="K113" s="1029"/>
      <c r="L113" s="1048"/>
      <c r="M113" s="2778"/>
      <c r="O113" s="2804"/>
      <c r="P113" s="2804"/>
      <c r="Q113" s="2804"/>
      <c r="R113" s="2804"/>
      <c r="S113" s="2804"/>
      <c r="T113" s="2804"/>
      <c r="U113" s="2804"/>
      <c r="V113" s="2804"/>
      <c r="W113" s="2804"/>
      <c r="X113" s="2804"/>
      <c r="Y113" s="2804"/>
      <c r="Z113" s="2804"/>
      <c r="AA113" s="2804"/>
      <c r="AB113" s="2804"/>
      <c r="AC113" s="2804"/>
    </row>
    <row r="114" spans="1:29" ht="13.5" customHeight="1">
      <c r="A114" s="1062"/>
      <c r="B114" s="1029"/>
      <c r="C114" s="1029"/>
      <c r="D114" s="1029"/>
      <c r="E114" s="1029"/>
      <c r="F114" s="1029"/>
      <c r="G114" s="1035"/>
      <c r="H114" s="1029"/>
      <c r="I114" s="1029"/>
      <c r="J114" s="1029"/>
      <c r="K114" s="1029"/>
      <c r="L114" s="1029"/>
      <c r="M114" s="1029"/>
      <c r="O114" s="1070"/>
      <c r="P114" s="1070"/>
      <c r="Q114" s="1070"/>
      <c r="R114" s="1070"/>
      <c r="S114" s="1070"/>
      <c r="T114" s="1070"/>
      <c r="U114" s="1070"/>
      <c r="V114" s="1070"/>
      <c r="W114" s="1070"/>
      <c r="X114" s="1070"/>
      <c r="Y114" s="1070"/>
      <c r="Z114" s="1070"/>
      <c r="AA114" s="1070"/>
      <c r="AB114" s="1070"/>
      <c r="AC114" s="1070"/>
    </row>
    <row r="115" spans="1:29" ht="13.5" customHeight="1">
      <c r="A115" s="1062"/>
      <c r="B115" s="1029"/>
      <c r="C115" s="1029"/>
      <c r="D115" s="1029"/>
      <c r="G115" s="1036"/>
      <c r="H115" s="2773" t="s">
        <v>2159</v>
      </c>
      <c r="I115" s="2774"/>
      <c r="J115" s="1029"/>
      <c r="K115" s="1029"/>
      <c r="L115" s="1030"/>
      <c r="M115" s="2777" t="s">
        <v>2160</v>
      </c>
      <c r="N115" s="1041"/>
      <c r="O115" s="2784" t="s">
        <v>2161</v>
      </c>
      <c r="P115" s="2784"/>
      <c r="Q115" s="2784"/>
      <c r="R115" s="2784"/>
      <c r="S115" s="2784"/>
      <c r="T115" s="2784"/>
      <c r="U115" s="2784"/>
      <c r="V115" s="2784"/>
      <c r="W115" s="2784"/>
      <c r="X115" s="2784"/>
      <c r="Y115" s="2784"/>
      <c r="Z115" s="2784"/>
      <c r="AA115" s="2784"/>
      <c r="AB115" s="1072"/>
      <c r="AC115" s="1072"/>
    </row>
    <row r="116" spans="1:29" ht="13.5" customHeight="1">
      <c r="A116" s="1062"/>
      <c r="B116" s="1029"/>
      <c r="C116" s="1029"/>
      <c r="D116" s="1029"/>
      <c r="G116" s="1048"/>
      <c r="H116" s="2775"/>
      <c r="I116" s="2776"/>
      <c r="J116" s="1033"/>
      <c r="K116" s="1043"/>
      <c r="L116" s="1035"/>
      <c r="M116" s="2778"/>
      <c r="O116" s="2784"/>
      <c r="P116" s="2784"/>
      <c r="Q116" s="2784"/>
      <c r="R116" s="2784"/>
      <c r="S116" s="2784"/>
      <c r="T116" s="2784"/>
      <c r="U116" s="2784"/>
      <c r="V116" s="2784"/>
      <c r="W116" s="2784"/>
      <c r="X116" s="2784"/>
      <c r="Y116" s="2784"/>
      <c r="Z116" s="2784"/>
      <c r="AA116" s="2784"/>
      <c r="AB116" s="1072"/>
      <c r="AC116" s="1072"/>
    </row>
    <row r="117" spans="1:29" ht="13.5" customHeight="1">
      <c r="A117" s="1029"/>
      <c r="B117" s="1029"/>
      <c r="C117" s="1029"/>
      <c r="D117" s="1029"/>
      <c r="G117" s="1029"/>
      <c r="H117" s="1051"/>
      <c r="I117" s="1051"/>
      <c r="J117" s="1029"/>
      <c r="K117" s="1029"/>
      <c r="L117" s="1035"/>
      <c r="M117" s="1029"/>
      <c r="O117" s="1070"/>
      <c r="P117" s="1070"/>
      <c r="Q117" s="1070"/>
      <c r="R117" s="1070"/>
      <c r="S117" s="1070"/>
      <c r="T117" s="1070"/>
      <c r="U117" s="1070"/>
      <c r="V117" s="1070"/>
      <c r="W117" s="1070"/>
      <c r="X117" s="1070"/>
      <c r="Y117" s="1070"/>
      <c r="Z117" s="1070"/>
      <c r="AA117" s="1070"/>
      <c r="AB117" s="1070"/>
      <c r="AC117" s="1070"/>
    </row>
    <row r="118" spans="1:29" ht="13.5" customHeight="1">
      <c r="A118" s="1029"/>
      <c r="B118" s="1029"/>
      <c r="G118" s="1029"/>
      <c r="H118" s="1031"/>
      <c r="I118" s="1031"/>
      <c r="J118" s="1029"/>
      <c r="K118" s="1044"/>
      <c r="L118" s="1035"/>
      <c r="M118" s="2777" t="s">
        <v>2162</v>
      </c>
      <c r="N118" s="1041"/>
      <c r="O118" s="2784" t="s">
        <v>2163</v>
      </c>
      <c r="P118" s="2784"/>
      <c r="Q118" s="2784"/>
      <c r="R118" s="2784"/>
      <c r="S118" s="2784"/>
      <c r="T118" s="2784"/>
      <c r="U118" s="2784"/>
      <c r="V118" s="2784"/>
      <c r="W118" s="2784"/>
      <c r="X118" s="2784"/>
      <c r="Y118" s="2784"/>
      <c r="Z118" s="2784"/>
      <c r="AA118" s="2784"/>
      <c r="AB118" s="1072"/>
      <c r="AC118" s="1072"/>
    </row>
    <row r="119" spans="1:29" ht="13.5" customHeight="1">
      <c r="A119" s="1029"/>
      <c r="B119" s="1029"/>
      <c r="G119" s="1029"/>
      <c r="H119" s="1031"/>
      <c r="I119" s="1031"/>
      <c r="J119" s="1029"/>
      <c r="K119" s="1029"/>
      <c r="L119" s="1043"/>
      <c r="M119" s="2778"/>
      <c r="O119" s="2784"/>
      <c r="P119" s="2784"/>
      <c r="Q119" s="2784"/>
      <c r="R119" s="2784"/>
      <c r="S119" s="2784"/>
      <c r="T119" s="2784"/>
      <c r="U119" s="2784"/>
      <c r="V119" s="2784"/>
      <c r="W119" s="2784"/>
      <c r="X119" s="2784"/>
      <c r="Y119" s="2784"/>
      <c r="Z119" s="2784"/>
      <c r="AA119" s="2784"/>
      <c r="AB119" s="1072"/>
      <c r="AC119" s="1072"/>
    </row>
    <row r="120" spans="1:29" ht="13.5" customHeight="1">
      <c r="A120" s="1029"/>
      <c r="B120" s="1029"/>
      <c r="J120" s="1029"/>
      <c r="K120" s="1029"/>
      <c r="L120" s="1029"/>
      <c r="M120" s="1029"/>
      <c r="O120" s="1070"/>
      <c r="P120" s="1070"/>
      <c r="Q120" s="1070"/>
      <c r="R120" s="1070"/>
      <c r="S120" s="1070"/>
      <c r="T120" s="1070"/>
      <c r="U120" s="1070"/>
      <c r="V120" s="1070"/>
      <c r="W120" s="1070"/>
      <c r="X120" s="1070"/>
      <c r="Y120" s="1070"/>
      <c r="Z120" s="1070"/>
      <c r="AA120" s="1070"/>
      <c r="AB120" s="1070"/>
      <c r="AC120" s="1070"/>
    </row>
    <row r="121" spans="1:29" ht="13.5" customHeight="1">
      <c r="A121" s="1063"/>
      <c r="B121" s="1029"/>
      <c r="C121" s="1029"/>
      <c r="D121" s="1029"/>
      <c r="E121" s="1029"/>
      <c r="J121" s="1029"/>
      <c r="K121" s="1029"/>
      <c r="L121" s="1029"/>
      <c r="M121" s="1031"/>
      <c r="O121" s="1071"/>
      <c r="P121" s="1071"/>
      <c r="Q121" s="1071"/>
      <c r="R121" s="1071"/>
      <c r="S121" s="1071"/>
      <c r="T121" s="1071"/>
      <c r="U121" s="1071"/>
      <c r="V121" s="1071"/>
      <c r="W121" s="1071"/>
      <c r="X121" s="1071"/>
      <c r="Y121" s="1071"/>
      <c r="Z121" s="1071"/>
      <c r="AA121" s="1071"/>
      <c r="AB121" s="1071"/>
      <c r="AC121" s="1071"/>
    </row>
    <row r="122" spans="1:29" ht="13.5" customHeight="1">
      <c r="A122" s="1029"/>
      <c r="B122" s="1029"/>
      <c r="C122" s="1029"/>
      <c r="D122" s="1029"/>
      <c r="E122" s="1029"/>
      <c r="F122" s="1029"/>
      <c r="G122" s="1029"/>
      <c r="H122" s="1029"/>
      <c r="I122" s="1029"/>
      <c r="J122" s="1029"/>
      <c r="K122" s="1029"/>
      <c r="L122" s="1029"/>
      <c r="M122" s="1029"/>
      <c r="O122" s="1073"/>
      <c r="P122" s="1073"/>
      <c r="Q122" s="1073"/>
      <c r="R122" s="1073"/>
      <c r="S122" s="1073"/>
      <c r="T122" s="1073"/>
      <c r="U122" s="1070"/>
      <c r="V122" s="1070"/>
      <c r="W122" s="1070"/>
      <c r="X122" s="1070"/>
      <c r="Y122" s="1070"/>
      <c r="Z122" s="1070"/>
      <c r="AA122" s="1070"/>
      <c r="AB122" s="1070"/>
      <c r="AC122" s="1070"/>
    </row>
    <row r="123" spans="1:29" ht="13.5" customHeight="1">
      <c r="A123" s="2773" t="s">
        <v>2164</v>
      </c>
      <c r="B123" s="2791"/>
      <c r="C123" s="2791"/>
      <c r="D123" s="2791"/>
      <c r="E123" s="2791"/>
      <c r="F123" s="2791"/>
      <c r="G123" s="2774"/>
      <c r="H123" s="1064"/>
      <c r="I123" s="1053"/>
      <c r="J123" s="1030"/>
      <c r="K123" s="1030"/>
      <c r="L123" s="1047"/>
      <c r="M123" s="2777" t="s">
        <v>2165</v>
      </c>
      <c r="O123" s="2784" t="s">
        <v>2166</v>
      </c>
      <c r="P123" s="2784"/>
      <c r="Q123" s="2784"/>
      <c r="R123" s="2784"/>
      <c r="S123" s="2784"/>
      <c r="T123" s="2784"/>
      <c r="U123" s="2784"/>
      <c r="V123" s="2784"/>
      <c r="W123" s="2784"/>
      <c r="X123" s="2784"/>
      <c r="Y123" s="2784"/>
      <c r="Z123" s="2784"/>
      <c r="AA123" s="2784"/>
      <c r="AB123" s="2784"/>
      <c r="AC123" s="2784"/>
    </row>
    <row r="124" spans="1:29" ht="13.5" customHeight="1">
      <c r="A124" s="2775"/>
      <c r="B124" s="2808"/>
      <c r="C124" s="2808"/>
      <c r="D124" s="2808"/>
      <c r="E124" s="2808"/>
      <c r="F124" s="2808"/>
      <c r="G124" s="2776"/>
      <c r="H124" s="1031"/>
      <c r="I124" s="1031"/>
      <c r="J124" s="1029"/>
      <c r="K124" s="1029"/>
      <c r="L124" s="1029"/>
      <c r="M124" s="2778"/>
      <c r="N124" s="1065"/>
      <c r="O124" s="2784"/>
      <c r="P124" s="2784"/>
      <c r="Q124" s="2784"/>
      <c r="R124" s="2784"/>
      <c r="S124" s="2784"/>
      <c r="T124" s="2784"/>
      <c r="U124" s="2784"/>
      <c r="V124" s="2784"/>
      <c r="W124" s="2784"/>
      <c r="X124" s="2784"/>
      <c r="Y124" s="2784"/>
      <c r="Z124" s="2784"/>
      <c r="AA124" s="2784"/>
      <c r="AB124" s="2784"/>
      <c r="AC124" s="2784"/>
    </row>
    <row r="125" spans="1:29" ht="13.5" customHeight="1">
      <c r="A125" s="1029"/>
      <c r="B125" s="1029"/>
      <c r="C125" s="1029"/>
      <c r="D125" s="1029"/>
      <c r="E125" s="1029"/>
      <c r="F125" s="1029"/>
      <c r="G125" s="1029"/>
      <c r="H125" s="1029"/>
      <c r="I125" s="1029"/>
      <c r="J125" s="1029"/>
      <c r="K125" s="1029"/>
      <c r="L125" s="1029"/>
      <c r="M125" s="1029"/>
      <c r="O125" s="1070"/>
      <c r="P125" s="1070"/>
      <c r="Q125" s="1070"/>
      <c r="R125" s="1070"/>
      <c r="S125" s="1070"/>
      <c r="T125" s="1070"/>
      <c r="U125" s="1070"/>
      <c r="V125" s="1070"/>
      <c r="W125" s="1070"/>
      <c r="X125" s="1070"/>
      <c r="Y125" s="1070"/>
      <c r="Z125" s="1070"/>
      <c r="AA125" s="1070"/>
      <c r="AB125" s="1070"/>
      <c r="AC125" s="1070"/>
    </row>
    <row r="126" spans="1:29" ht="13.5" customHeight="1">
      <c r="A126" s="2773" t="s">
        <v>2167</v>
      </c>
      <c r="B126" s="2791"/>
      <c r="C126" s="2791"/>
      <c r="D126" s="2791"/>
      <c r="E126" s="2791"/>
      <c r="F126" s="2791"/>
      <c r="G126" s="2774"/>
      <c r="H126" s="1031"/>
      <c r="I126" s="1029"/>
      <c r="J126" s="1030"/>
      <c r="K126" s="1053"/>
      <c r="L126" s="1066"/>
      <c r="M126" s="2777" t="s">
        <v>2168</v>
      </c>
      <c r="O126" s="1070"/>
      <c r="P126" s="1070"/>
      <c r="Q126" s="1070"/>
      <c r="R126" s="1070"/>
      <c r="S126" s="1070"/>
      <c r="T126" s="1070"/>
      <c r="U126" s="1070"/>
      <c r="V126" s="1070"/>
      <c r="W126" s="1070"/>
      <c r="X126" s="1070"/>
      <c r="Y126" s="1070"/>
      <c r="Z126" s="1070"/>
      <c r="AA126" s="1070"/>
      <c r="AB126" s="1070"/>
      <c r="AC126" s="1070"/>
    </row>
    <row r="127" spans="1:29" ht="13.5" customHeight="1">
      <c r="A127" s="2775"/>
      <c r="B127" s="2808"/>
      <c r="C127" s="2808"/>
      <c r="D127" s="2808"/>
      <c r="E127" s="2808"/>
      <c r="F127" s="2808"/>
      <c r="G127" s="2776"/>
      <c r="H127" s="1034"/>
      <c r="I127" s="1048"/>
      <c r="J127" s="1031"/>
      <c r="K127" s="1031"/>
      <c r="L127" s="1067"/>
      <c r="M127" s="2778"/>
      <c r="O127" s="1070"/>
      <c r="P127" s="1070"/>
      <c r="Q127" s="1070"/>
      <c r="R127" s="1070"/>
      <c r="S127" s="1070"/>
      <c r="T127" s="1070"/>
      <c r="U127" s="1070"/>
      <c r="V127" s="1070"/>
      <c r="W127" s="1070"/>
      <c r="X127" s="1070"/>
      <c r="Y127" s="1070"/>
      <c r="Z127" s="1070"/>
      <c r="AA127" s="1070"/>
      <c r="AB127" s="1070"/>
      <c r="AC127" s="1070"/>
    </row>
    <row r="128" spans="1:29" ht="13.5" customHeight="1">
      <c r="A128" s="1029"/>
      <c r="B128" s="1029"/>
      <c r="C128" s="1029"/>
      <c r="D128" s="1029"/>
      <c r="E128" s="1029"/>
      <c r="F128" s="1029"/>
      <c r="G128" s="1029"/>
      <c r="H128" s="1029"/>
      <c r="I128" s="1029"/>
      <c r="J128" s="1029"/>
      <c r="K128" s="1029"/>
      <c r="L128" s="1029"/>
      <c r="M128" s="1029"/>
      <c r="O128" s="1070"/>
      <c r="P128" s="1070"/>
      <c r="Q128" s="1070"/>
      <c r="R128" s="1070"/>
      <c r="S128" s="1070"/>
      <c r="T128" s="1070"/>
      <c r="U128" s="1070"/>
      <c r="V128" s="1070"/>
      <c r="W128" s="1070"/>
      <c r="X128" s="1070"/>
      <c r="Y128" s="1070"/>
      <c r="Z128" s="1070"/>
      <c r="AA128" s="1070"/>
      <c r="AB128" s="1070"/>
      <c r="AC128" s="1070"/>
    </row>
    <row r="129" spans="1:29" ht="13.5" customHeight="1">
      <c r="A129" s="2787" t="s">
        <v>2169</v>
      </c>
      <c r="B129" s="2806"/>
      <c r="C129" s="2806"/>
      <c r="D129" s="2806"/>
      <c r="E129" s="2806"/>
      <c r="F129" s="2806"/>
      <c r="G129" s="2788"/>
      <c r="H129" s="1068"/>
      <c r="I129" s="1029"/>
      <c r="J129" s="1053"/>
      <c r="K129" s="1053"/>
      <c r="L129" s="1066"/>
      <c r="M129" s="2782" t="s">
        <v>2170</v>
      </c>
      <c r="O129" s="1070"/>
      <c r="P129" s="1070"/>
      <c r="Q129" s="1070"/>
      <c r="R129" s="1070"/>
      <c r="S129" s="1070"/>
      <c r="T129" s="1070"/>
      <c r="U129" s="1070"/>
      <c r="V129" s="1070"/>
      <c r="W129" s="1070"/>
      <c r="X129" s="1070"/>
      <c r="Y129" s="1070"/>
      <c r="Z129" s="1070"/>
      <c r="AA129" s="1070"/>
      <c r="AB129" s="1070"/>
      <c r="AC129" s="1070"/>
    </row>
    <row r="130" spans="1:29" ht="13.5" customHeight="1">
      <c r="A130" s="2789"/>
      <c r="B130" s="2807"/>
      <c r="C130" s="2807"/>
      <c r="D130" s="2807"/>
      <c r="E130" s="2807"/>
      <c r="F130" s="2807"/>
      <c r="G130" s="2790"/>
      <c r="H130" s="1069"/>
      <c r="I130" s="1048"/>
      <c r="J130" s="1031"/>
      <c r="K130" s="1031"/>
      <c r="L130" s="1031"/>
      <c r="M130" s="2783"/>
      <c r="O130" s="1070"/>
      <c r="P130" s="1070"/>
      <c r="Q130" s="1070"/>
      <c r="R130" s="1070"/>
      <c r="S130" s="1070"/>
      <c r="T130" s="1070"/>
      <c r="U130" s="1070"/>
      <c r="V130" s="1070"/>
      <c r="W130" s="1070"/>
      <c r="X130" s="1070"/>
      <c r="Y130" s="1070"/>
      <c r="Z130" s="1070"/>
      <c r="AA130" s="1070"/>
      <c r="AB130" s="1070"/>
      <c r="AC130" s="1070"/>
    </row>
    <row r="131" spans="1:29" ht="13.5" customHeight="1">
      <c r="A131" s="1029"/>
      <c r="B131" s="1029"/>
      <c r="C131" s="1029"/>
      <c r="D131" s="1029"/>
      <c r="E131" s="1029"/>
      <c r="F131" s="1029"/>
      <c r="G131" s="1029"/>
      <c r="H131" s="1029"/>
      <c r="I131" s="1029"/>
      <c r="J131" s="1029"/>
      <c r="K131" s="1029"/>
      <c r="L131" s="1029"/>
      <c r="M131" s="1029"/>
      <c r="O131" s="1070"/>
      <c r="P131" s="1070"/>
      <c r="Q131" s="1070"/>
      <c r="R131" s="1070"/>
      <c r="S131" s="1070"/>
      <c r="T131" s="1070"/>
      <c r="U131" s="1070"/>
      <c r="V131" s="1070"/>
      <c r="W131" s="1070"/>
      <c r="X131" s="1070"/>
      <c r="Y131" s="1070"/>
      <c r="Z131" s="1070"/>
      <c r="AA131" s="1070"/>
      <c r="AB131" s="1070"/>
      <c r="AC131" s="1070"/>
    </row>
    <row r="132" spans="1:29" ht="13.5" customHeight="1">
      <c r="A132" s="2773" t="s">
        <v>2171</v>
      </c>
      <c r="B132" s="2791"/>
      <c r="C132" s="2791"/>
      <c r="D132" s="2791"/>
      <c r="E132" s="2791"/>
      <c r="F132" s="2791"/>
      <c r="G132" s="2774"/>
      <c r="H132" s="1031"/>
      <c r="I132" s="1029"/>
      <c r="J132" s="1053"/>
      <c r="K132" s="1053"/>
      <c r="L132" s="1066"/>
      <c r="M132" s="2809" t="s">
        <v>2172</v>
      </c>
      <c r="O132" s="1070"/>
      <c r="P132" s="1070"/>
      <c r="Q132" s="1070"/>
      <c r="R132" s="1070"/>
      <c r="S132" s="1070"/>
      <c r="T132" s="1070"/>
      <c r="U132" s="1070"/>
      <c r="V132" s="1070"/>
      <c r="W132" s="1070"/>
      <c r="X132" s="1070"/>
      <c r="Y132" s="1070"/>
      <c r="Z132" s="1070"/>
      <c r="AA132" s="1070"/>
      <c r="AB132" s="1070"/>
      <c r="AC132" s="1070"/>
    </row>
    <row r="133" spans="1:29" ht="13.5" customHeight="1">
      <c r="A133" s="2775"/>
      <c r="B133" s="2808"/>
      <c r="C133" s="2808"/>
      <c r="D133" s="2808"/>
      <c r="E133" s="2808"/>
      <c r="F133" s="2808"/>
      <c r="G133" s="2776"/>
      <c r="H133" s="1034"/>
      <c r="I133" s="1048"/>
      <c r="J133" s="1031"/>
      <c r="K133" s="1031"/>
      <c r="L133" s="1031"/>
      <c r="M133" s="2809"/>
      <c r="O133" s="1070"/>
      <c r="P133" s="1070"/>
      <c r="Q133" s="1070"/>
      <c r="R133" s="1070"/>
      <c r="S133" s="1070"/>
      <c r="T133" s="1070"/>
      <c r="U133" s="1070"/>
      <c r="V133" s="1070"/>
      <c r="W133" s="1070"/>
      <c r="X133" s="1070"/>
      <c r="Y133" s="1070"/>
      <c r="Z133" s="1070"/>
      <c r="AA133" s="1070"/>
      <c r="AB133" s="1070"/>
      <c r="AC133" s="1070"/>
    </row>
    <row r="134" spans="1:29" ht="13.5" customHeight="1">
      <c r="A134" s="1029"/>
      <c r="B134" s="1029"/>
      <c r="C134" s="1029"/>
      <c r="D134" s="1029"/>
      <c r="E134" s="1029"/>
      <c r="F134" s="1029"/>
      <c r="G134" s="1029"/>
      <c r="H134" s="1029"/>
      <c r="I134" s="1029"/>
      <c r="J134" s="1029"/>
      <c r="K134" s="1029"/>
      <c r="L134" s="1029"/>
      <c r="M134" s="1029"/>
      <c r="O134" s="1070"/>
      <c r="P134" s="1070"/>
      <c r="Q134" s="1070"/>
      <c r="R134" s="1070"/>
      <c r="S134" s="1070"/>
      <c r="T134" s="1070"/>
      <c r="U134" s="1070"/>
      <c r="V134" s="1070"/>
      <c r="W134" s="1070"/>
      <c r="X134" s="1070"/>
      <c r="Y134" s="1070"/>
      <c r="Z134" s="1070"/>
      <c r="AA134" s="1070"/>
      <c r="AB134" s="1070"/>
      <c r="AC134" s="1070"/>
    </row>
    <row r="135" spans="1:29" ht="13.5" customHeight="1">
      <c r="A135" s="2773" t="s">
        <v>2173</v>
      </c>
      <c r="B135" s="2791"/>
      <c r="C135" s="2791"/>
      <c r="D135" s="2791"/>
      <c r="E135" s="2791"/>
      <c r="F135" s="2791"/>
      <c r="G135" s="2774"/>
      <c r="H135" s="1031"/>
      <c r="I135" s="1029"/>
      <c r="J135" s="1053"/>
      <c r="K135" s="1053"/>
      <c r="L135" s="1066"/>
      <c r="M135" s="2785" t="s">
        <v>2174</v>
      </c>
      <c r="O135" s="1070"/>
      <c r="P135" s="1070"/>
      <c r="Q135" s="1070"/>
      <c r="R135" s="1070"/>
      <c r="S135" s="1070"/>
      <c r="T135" s="1070"/>
      <c r="U135" s="1070"/>
      <c r="V135" s="1070"/>
      <c r="W135" s="1070"/>
      <c r="X135" s="1070"/>
      <c r="Y135" s="1070"/>
      <c r="Z135" s="1070"/>
      <c r="AA135" s="1070"/>
      <c r="AB135" s="1070"/>
      <c r="AC135" s="1070"/>
    </row>
    <row r="136" spans="1:29" ht="13.5" customHeight="1">
      <c r="A136" s="2775"/>
      <c r="B136" s="2808"/>
      <c r="C136" s="2808"/>
      <c r="D136" s="2808"/>
      <c r="E136" s="2808"/>
      <c r="F136" s="2808"/>
      <c r="G136" s="2776"/>
      <c r="H136" s="1034"/>
      <c r="I136" s="1048"/>
      <c r="J136" s="1031"/>
      <c r="K136" s="1031"/>
      <c r="L136" s="1031"/>
      <c r="M136" s="2785"/>
      <c r="O136" s="1070"/>
      <c r="P136" s="1070"/>
      <c r="Q136" s="1070"/>
      <c r="R136" s="1070"/>
      <c r="S136" s="1070"/>
      <c r="T136" s="1070"/>
      <c r="U136" s="1070"/>
      <c r="V136" s="1070"/>
      <c r="W136" s="1070"/>
      <c r="X136" s="1070"/>
      <c r="Y136" s="1070"/>
      <c r="Z136" s="1070"/>
      <c r="AA136" s="1070"/>
      <c r="AB136" s="1070"/>
      <c r="AC136" s="1070"/>
    </row>
    <row r="137" spans="1:29" ht="13.5" customHeight="1">
      <c r="A137" s="1029"/>
      <c r="B137" s="1029"/>
      <c r="C137" s="1029"/>
      <c r="D137" s="1029"/>
      <c r="E137" s="1029"/>
      <c r="F137" s="1029"/>
      <c r="G137" s="1029"/>
      <c r="H137" s="1029"/>
      <c r="I137" s="1029"/>
      <c r="J137" s="1029"/>
      <c r="K137" s="1029"/>
      <c r="L137" s="1029"/>
      <c r="M137" s="1029"/>
      <c r="O137" s="1070"/>
      <c r="P137" s="1070"/>
      <c r="Q137" s="1070"/>
      <c r="R137" s="1070"/>
      <c r="S137" s="1070"/>
      <c r="T137" s="1070"/>
      <c r="U137" s="1070"/>
      <c r="V137" s="1070"/>
      <c r="W137" s="1070"/>
      <c r="X137" s="1070"/>
      <c r="Y137" s="1070"/>
      <c r="Z137" s="1070"/>
      <c r="AA137" s="1070"/>
      <c r="AB137" s="1070"/>
      <c r="AC137" s="1070"/>
    </row>
    <row r="138" spans="1:29" ht="13.5" customHeight="1">
      <c r="A138" s="2773" t="s">
        <v>2175</v>
      </c>
      <c r="B138" s="2791"/>
      <c r="C138" s="2791"/>
      <c r="D138" s="2791"/>
      <c r="E138" s="2791"/>
      <c r="F138" s="2791"/>
      <c r="G138" s="2774"/>
      <c r="H138" s="1031"/>
      <c r="I138" s="1029"/>
      <c r="J138" s="1053"/>
      <c r="K138" s="1053"/>
      <c r="L138" s="1066"/>
      <c r="M138" s="2785" t="s">
        <v>2176</v>
      </c>
      <c r="O138" s="1070"/>
      <c r="P138" s="1070"/>
      <c r="Q138" s="1070"/>
      <c r="R138" s="1070"/>
      <c r="S138" s="1070"/>
      <c r="T138" s="1070"/>
      <c r="U138" s="1070"/>
      <c r="V138" s="1070"/>
      <c r="W138" s="1070"/>
      <c r="X138" s="1070"/>
      <c r="Y138" s="1070"/>
      <c r="Z138" s="1070"/>
      <c r="AA138" s="1070"/>
      <c r="AB138" s="1070"/>
      <c r="AC138" s="1070"/>
    </row>
    <row r="139" spans="1:29" ht="13.5" customHeight="1">
      <c r="A139" s="2775"/>
      <c r="B139" s="2808"/>
      <c r="C139" s="2808"/>
      <c r="D139" s="2808"/>
      <c r="E139" s="2808"/>
      <c r="F139" s="2808"/>
      <c r="G139" s="2776"/>
      <c r="H139" s="1034"/>
      <c r="I139" s="1048"/>
      <c r="J139" s="1031"/>
      <c r="K139" s="1031"/>
      <c r="L139" s="1031"/>
      <c r="M139" s="2785"/>
      <c r="O139" s="1070"/>
      <c r="P139" s="1070"/>
      <c r="Q139" s="1070"/>
      <c r="R139" s="1070"/>
      <c r="S139" s="1070"/>
      <c r="T139" s="1070"/>
      <c r="U139" s="1070"/>
      <c r="V139" s="1070"/>
      <c r="W139" s="1070"/>
      <c r="X139" s="1070"/>
      <c r="Y139" s="1070"/>
      <c r="Z139" s="1070"/>
      <c r="AA139" s="1070"/>
      <c r="AB139" s="1070"/>
      <c r="AC139" s="1070"/>
    </row>
    <row r="140" spans="1:29" ht="13.5" customHeight="1">
      <c r="A140" s="1029"/>
      <c r="B140" s="1029"/>
      <c r="C140" s="1029"/>
      <c r="D140" s="1029"/>
      <c r="E140" s="1029"/>
      <c r="F140" s="1029"/>
      <c r="G140" s="1029"/>
      <c r="H140" s="1029"/>
      <c r="I140" s="1029"/>
      <c r="J140" s="1029"/>
      <c r="K140" s="1029"/>
      <c r="L140" s="1029"/>
      <c r="M140" s="1029"/>
      <c r="O140" s="1070"/>
      <c r="P140" s="1070"/>
      <c r="Q140" s="1070"/>
      <c r="R140" s="1070"/>
      <c r="S140" s="1070"/>
      <c r="T140" s="1070"/>
      <c r="U140" s="1070"/>
      <c r="V140" s="1070"/>
      <c r="W140" s="1070"/>
      <c r="X140" s="1070"/>
      <c r="Y140" s="1070"/>
      <c r="Z140" s="1070"/>
      <c r="AA140" s="1070"/>
      <c r="AB140" s="1070"/>
      <c r="AC140" s="1070"/>
    </row>
    <row r="141" spans="1:29" ht="13.5" customHeight="1">
      <c r="A141" s="2787" t="s">
        <v>2177</v>
      </c>
      <c r="B141" s="2806"/>
      <c r="C141" s="2806"/>
      <c r="D141" s="2806"/>
      <c r="E141" s="2806"/>
      <c r="F141" s="2806"/>
      <c r="G141" s="2788"/>
      <c r="H141" s="1031"/>
      <c r="I141" s="1029"/>
      <c r="J141" s="1053"/>
      <c r="K141" s="1053"/>
      <c r="L141" s="1066"/>
      <c r="M141" s="2809" t="s">
        <v>2178</v>
      </c>
      <c r="O141" s="1070"/>
      <c r="P141" s="1070"/>
      <c r="Q141" s="1070"/>
      <c r="R141" s="1070"/>
      <c r="S141" s="1070"/>
      <c r="T141" s="1070"/>
      <c r="U141" s="1070"/>
      <c r="V141" s="2810" t="s">
        <v>2179</v>
      </c>
      <c r="W141" s="2810"/>
      <c r="X141" s="2810"/>
      <c r="Y141" s="2810"/>
      <c r="Z141" s="2810"/>
      <c r="AA141" s="2810"/>
      <c r="AB141" s="2810"/>
      <c r="AC141" s="2810"/>
    </row>
    <row r="142" spans="1:29" ht="13.5" customHeight="1">
      <c r="A142" s="2789"/>
      <c r="B142" s="2807"/>
      <c r="C142" s="2807"/>
      <c r="D142" s="2807"/>
      <c r="E142" s="2807"/>
      <c r="F142" s="2807"/>
      <c r="G142" s="2790"/>
      <c r="H142" s="1034"/>
      <c r="I142" s="1048"/>
      <c r="J142" s="1031"/>
      <c r="K142" s="1031"/>
      <c r="L142" s="1031"/>
      <c r="M142" s="2809"/>
      <c r="O142" s="1070"/>
      <c r="P142" s="1070"/>
      <c r="Q142" s="1070"/>
      <c r="R142" s="1070"/>
      <c r="S142" s="1070"/>
      <c r="T142" s="1070"/>
      <c r="U142" s="1070"/>
      <c r="V142" s="2810"/>
      <c r="W142" s="2810"/>
      <c r="X142" s="2810"/>
      <c r="Y142" s="2810"/>
      <c r="Z142" s="2810"/>
      <c r="AA142" s="2810"/>
      <c r="AB142" s="2810"/>
      <c r="AC142" s="2810"/>
    </row>
    <row r="143" spans="1:29" ht="13.5" customHeight="1">
      <c r="A143" s="1029"/>
      <c r="B143" s="1029"/>
      <c r="C143" s="1029"/>
      <c r="D143" s="1029"/>
      <c r="E143" s="1029"/>
      <c r="F143" s="1029"/>
      <c r="G143" s="1029"/>
      <c r="H143" s="1029"/>
      <c r="I143" s="1029"/>
      <c r="J143" s="1029"/>
      <c r="K143" s="1029"/>
      <c r="L143" s="1029"/>
      <c r="M143" s="1029"/>
      <c r="O143" s="1070"/>
      <c r="P143" s="1070"/>
      <c r="Q143" s="1070"/>
      <c r="R143" s="1070"/>
      <c r="S143" s="1070"/>
      <c r="T143" s="1070"/>
      <c r="U143" s="1070"/>
      <c r="V143" s="1070"/>
      <c r="W143" s="1070"/>
      <c r="X143" s="1070"/>
      <c r="Y143" s="1070"/>
      <c r="Z143" s="1070"/>
      <c r="AA143" s="1070"/>
      <c r="AB143" s="1070"/>
      <c r="AC143" s="1070"/>
    </row>
  </sheetData>
  <mergeCells count="96">
    <mergeCell ref="A141:G142"/>
    <mergeCell ref="M141:M142"/>
    <mergeCell ref="V141:AC142"/>
    <mergeCell ref="A132:G133"/>
    <mergeCell ref="M132:M133"/>
    <mergeCell ref="A135:G136"/>
    <mergeCell ref="M135:M136"/>
    <mergeCell ref="A138:G139"/>
    <mergeCell ref="M138:M139"/>
    <mergeCell ref="O109:AC110"/>
    <mergeCell ref="A129:G130"/>
    <mergeCell ref="M129:M130"/>
    <mergeCell ref="M112:M113"/>
    <mergeCell ref="O112:AC113"/>
    <mergeCell ref="H115:I116"/>
    <mergeCell ref="M115:M116"/>
    <mergeCell ref="O115:AA116"/>
    <mergeCell ref="M118:M119"/>
    <mergeCell ref="O118:AA119"/>
    <mergeCell ref="A123:G124"/>
    <mergeCell ref="M123:M124"/>
    <mergeCell ref="O123:AC124"/>
    <mergeCell ref="A126:G127"/>
    <mergeCell ref="M126:M127"/>
    <mergeCell ref="O100:AC101"/>
    <mergeCell ref="M103:M104"/>
    <mergeCell ref="O103:AC104"/>
    <mergeCell ref="M106:M107"/>
    <mergeCell ref="O106:AC107"/>
    <mergeCell ref="O90:AC93"/>
    <mergeCell ref="H94:I95"/>
    <mergeCell ref="M94:M95"/>
    <mergeCell ref="O94:AC95"/>
    <mergeCell ref="M97:M98"/>
    <mergeCell ref="O97:AC99"/>
    <mergeCell ref="M82:M83"/>
    <mergeCell ref="M85:M86"/>
    <mergeCell ref="A90:A111"/>
    <mergeCell ref="D90:E95"/>
    <mergeCell ref="H90:I91"/>
    <mergeCell ref="M90:M91"/>
    <mergeCell ref="M100:M101"/>
    <mergeCell ref="M109:M110"/>
    <mergeCell ref="H67:I68"/>
    <mergeCell ref="M67:M68"/>
    <mergeCell ref="O67:AC68"/>
    <mergeCell ref="A72:A79"/>
    <mergeCell ref="D72:E77"/>
    <mergeCell ref="H72:I73"/>
    <mergeCell ref="M72:M73"/>
    <mergeCell ref="O72:AC74"/>
    <mergeCell ref="M75:M76"/>
    <mergeCell ref="O75:AC78"/>
    <mergeCell ref="M79:M80"/>
    <mergeCell ref="O79:AC80"/>
    <mergeCell ref="M63:M64"/>
    <mergeCell ref="O63:AC64"/>
    <mergeCell ref="H46:I47"/>
    <mergeCell ref="M46:M47"/>
    <mergeCell ref="O46:AC47"/>
    <mergeCell ref="M49:M50"/>
    <mergeCell ref="O49:AC51"/>
    <mergeCell ref="M52:M53"/>
    <mergeCell ref="O52:AC53"/>
    <mergeCell ref="M55:M56"/>
    <mergeCell ref="O55:AC56"/>
    <mergeCell ref="H60:I61"/>
    <mergeCell ref="M60:M61"/>
    <mergeCell ref="O60:AC61"/>
    <mergeCell ref="M33:M34"/>
    <mergeCell ref="O33:AC34"/>
    <mergeCell ref="M37:M38"/>
    <mergeCell ref="O37:AC40"/>
    <mergeCell ref="M41:M42"/>
    <mergeCell ref="O41:AC43"/>
    <mergeCell ref="M21:M22"/>
    <mergeCell ref="O21:AC23"/>
    <mergeCell ref="M24:M25"/>
    <mergeCell ref="O24:AC25"/>
    <mergeCell ref="H29:I30"/>
    <mergeCell ref="M29:M30"/>
    <mergeCell ref="O29:AC32"/>
    <mergeCell ref="M12:M13"/>
    <mergeCell ref="O12:AC13"/>
    <mergeCell ref="M15:M16"/>
    <mergeCell ref="O15:AC16"/>
    <mergeCell ref="M18:M19"/>
    <mergeCell ref="O18:AC19"/>
    <mergeCell ref="Z1:AC1"/>
    <mergeCell ref="A6:A11"/>
    <mergeCell ref="D6:E11"/>
    <mergeCell ref="H6:I7"/>
    <mergeCell ref="M6:M7"/>
    <mergeCell ref="O6:AC8"/>
    <mergeCell ref="M9:M10"/>
    <mergeCell ref="O9:AC10"/>
  </mergeCells>
  <phoneticPr fontId="4"/>
  <printOptions horizontalCentered="1"/>
  <pageMargins left="0.59055118110236227" right="0.59055118110236227" top="0.78740157480314965" bottom="0.39370078740157483" header="0.51181102362204722" footer="0.51181102362204722"/>
  <pageSetup paperSize="8" scale="55" orientation="portrait" r:id="rId1"/>
  <headerFooter alignWithMargins="0"/>
  <rowBreaks count="1" manualBreakCount="1">
    <brk id="71" max="25"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35D2C-0952-44F4-BFFC-350DA19A5383}">
  <sheetPr>
    <pageSetUpPr fitToPage="1"/>
  </sheetPr>
  <dimension ref="A1:C73"/>
  <sheetViews>
    <sheetView workbookViewId="0">
      <selection activeCell="C3" sqref="C3"/>
    </sheetView>
  </sheetViews>
  <sheetFormatPr defaultColWidth="8.09765625" defaultRowHeight="13.2"/>
  <cols>
    <col min="1" max="1" width="3.5" style="1343" customWidth="1"/>
    <col min="2" max="2" width="16.09765625" style="1343" customWidth="1"/>
    <col min="3" max="3" width="68.19921875" style="1343" customWidth="1"/>
    <col min="4" max="16384" width="8.09765625" style="1343"/>
  </cols>
  <sheetData>
    <row r="1" spans="1:3" ht="30" customHeight="1" thickBot="1">
      <c r="A1" s="2813" t="s">
        <v>3458</v>
      </c>
      <c r="B1" s="2813"/>
      <c r="C1" s="2813"/>
    </row>
    <row r="2" spans="1:3" ht="27.9" customHeight="1">
      <c r="A2" s="2814" t="s">
        <v>3459</v>
      </c>
      <c r="B2" s="2815"/>
      <c r="C2" s="1936" t="s">
        <v>3460</v>
      </c>
    </row>
    <row r="3" spans="1:3" ht="39.6">
      <c r="A3" s="2811" t="s">
        <v>3461</v>
      </c>
      <c r="B3" s="2812"/>
      <c r="C3" s="1937" t="s">
        <v>3508</v>
      </c>
    </row>
    <row r="4" spans="1:3" ht="30" customHeight="1">
      <c r="A4" s="2811" t="s">
        <v>3462</v>
      </c>
      <c r="B4" s="2812"/>
      <c r="C4" s="1937" t="s">
        <v>3463</v>
      </c>
    </row>
    <row r="5" spans="1:3" ht="28.5" customHeight="1">
      <c r="A5" s="2811" t="s">
        <v>3509</v>
      </c>
      <c r="B5" s="2812"/>
      <c r="C5" s="1937" t="s">
        <v>3510</v>
      </c>
    </row>
    <row r="6" spans="1:3" ht="29.25" customHeight="1">
      <c r="A6" s="2811" t="s">
        <v>3464</v>
      </c>
      <c r="B6" s="2812"/>
      <c r="C6" s="1937" t="s">
        <v>3465</v>
      </c>
    </row>
    <row r="7" spans="1:3" ht="28.5" customHeight="1">
      <c r="A7" s="2811" t="s">
        <v>3511</v>
      </c>
      <c r="B7" s="2812"/>
      <c r="C7" s="1937" t="s">
        <v>3466</v>
      </c>
    </row>
    <row r="8" spans="1:3" ht="28.5" customHeight="1">
      <c r="A8" s="2811" t="s">
        <v>3467</v>
      </c>
      <c r="B8" s="2812"/>
      <c r="C8" s="1937" t="s">
        <v>3468</v>
      </c>
    </row>
    <row r="9" spans="1:3" ht="28.5" customHeight="1">
      <c r="A9" s="2811" t="s">
        <v>3469</v>
      </c>
      <c r="B9" s="2812"/>
      <c r="C9" s="1937" t="s">
        <v>3512</v>
      </c>
    </row>
    <row r="10" spans="1:3" ht="28.5" customHeight="1">
      <c r="A10" s="2811" t="s">
        <v>3470</v>
      </c>
      <c r="B10" s="2812"/>
      <c r="C10" s="1937" t="s">
        <v>3471</v>
      </c>
    </row>
    <row r="11" spans="1:3" ht="28.5" customHeight="1">
      <c r="A11" s="2811" t="s">
        <v>3472</v>
      </c>
      <c r="B11" s="2812"/>
      <c r="C11" s="1937" t="s">
        <v>3473</v>
      </c>
    </row>
    <row r="12" spans="1:3" ht="28.5" customHeight="1">
      <c r="A12" s="2811" t="s">
        <v>3474</v>
      </c>
      <c r="B12" s="2812"/>
      <c r="C12" s="1937" t="s">
        <v>3475</v>
      </c>
    </row>
    <row r="13" spans="1:3" ht="28.5" customHeight="1">
      <c r="A13" s="2811" t="s">
        <v>3513</v>
      </c>
      <c r="B13" s="2812"/>
      <c r="C13" s="1937" t="s">
        <v>3514</v>
      </c>
    </row>
    <row r="14" spans="1:3" ht="28.5" customHeight="1">
      <c r="A14" s="2811" t="s">
        <v>3476</v>
      </c>
      <c r="B14" s="2812"/>
      <c r="C14" s="1937" t="s">
        <v>3477</v>
      </c>
    </row>
    <row r="15" spans="1:3" ht="28.5" customHeight="1">
      <c r="A15" s="2811" t="s">
        <v>3478</v>
      </c>
      <c r="B15" s="2812"/>
      <c r="C15" s="1937" t="s">
        <v>3479</v>
      </c>
    </row>
    <row r="16" spans="1:3" ht="28.5" customHeight="1">
      <c r="A16" s="2811" t="s">
        <v>3480</v>
      </c>
      <c r="B16" s="2812"/>
      <c r="C16" s="1937" t="s">
        <v>3481</v>
      </c>
    </row>
    <row r="17" spans="1:3" ht="28.5" customHeight="1">
      <c r="A17" s="2811" t="s">
        <v>3482</v>
      </c>
      <c r="B17" s="2812"/>
      <c r="C17" s="1937" t="s">
        <v>3483</v>
      </c>
    </row>
    <row r="18" spans="1:3" ht="26.4">
      <c r="A18" s="2816" t="s">
        <v>3484</v>
      </c>
      <c r="B18" s="1938" t="s">
        <v>3485</v>
      </c>
      <c r="C18" s="1937" t="s">
        <v>3486</v>
      </c>
    </row>
    <row r="19" spans="1:3" ht="39.6">
      <c r="A19" s="2817"/>
      <c r="B19" s="1938" t="s">
        <v>3487</v>
      </c>
      <c r="C19" s="1937" t="s">
        <v>3488</v>
      </c>
    </row>
    <row r="20" spans="1:3" ht="39.6">
      <c r="A20" s="2818"/>
      <c r="B20" s="1939" t="s">
        <v>3489</v>
      </c>
      <c r="C20" s="1937" t="s">
        <v>3490</v>
      </c>
    </row>
    <row r="21" spans="1:3" ht="28.5" customHeight="1">
      <c r="A21" s="2816" t="s">
        <v>14</v>
      </c>
      <c r="B21" s="1939" t="s">
        <v>3485</v>
      </c>
      <c r="C21" s="1937" t="s">
        <v>3491</v>
      </c>
    </row>
    <row r="22" spans="1:3" ht="28.5" customHeight="1">
      <c r="A22" s="2817"/>
      <c r="B22" s="1939" t="s">
        <v>3487</v>
      </c>
      <c r="C22" s="1937" t="s">
        <v>3492</v>
      </c>
    </row>
    <row r="23" spans="1:3" ht="39.6">
      <c r="A23" s="2817"/>
      <c r="B23" s="1939" t="s">
        <v>3489</v>
      </c>
      <c r="C23" s="1937" t="s">
        <v>3493</v>
      </c>
    </row>
    <row r="24" spans="1:3" ht="28.5" customHeight="1">
      <c r="A24" s="2819" t="s">
        <v>3494</v>
      </c>
      <c r="B24" s="2820"/>
      <c r="C24" s="1940" t="s">
        <v>3495</v>
      </c>
    </row>
    <row r="25" spans="1:3" ht="45.75" customHeight="1">
      <c r="A25" s="2819" t="s">
        <v>3496</v>
      </c>
      <c r="B25" s="2820"/>
      <c r="C25" s="1937" t="s">
        <v>3497</v>
      </c>
    </row>
    <row r="26" spans="1:3" ht="28.5" customHeight="1">
      <c r="A26" s="2819" t="s">
        <v>3498</v>
      </c>
      <c r="B26" s="2820"/>
      <c r="C26" s="1937" t="s">
        <v>3499</v>
      </c>
    </row>
    <row r="27" spans="1:3" ht="28.5" customHeight="1">
      <c r="A27" s="2819" t="s">
        <v>3500</v>
      </c>
      <c r="B27" s="2820"/>
      <c r="C27" s="1937" t="s">
        <v>3501</v>
      </c>
    </row>
    <row r="28" spans="1:3" ht="28.5" customHeight="1">
      <c r="A28" s="2823" t="s">
        <v>3502</v>
      </c>
      <c r="B28" s="2824"/>
      <c r="C28" s="1937" t="s">
        <v>3503</v>
      </c>
    </row>
    <row r="29" spans="1:3" ht="28.5" customHeight="1">
      <c r="A29" s="2819" t="s">
        <v>3504</v>
      </c>
      <c r="B29" s="2820"/>
      <c r="C29" s="1937" t="s">
        <v>3505</v>
      </c>
    </row>
    <row r="30" spans="1:3" ht="28.5" customHeight="1" thickBot="1">
      <c r="A30" s="2821" t="s">
        <v>3506</v>
      </c>
      <c r="B30" s="2822"/>
      <c r="C30" s="1941" t="s">
        <v>3507</v>
      </c>
    </row>
    <row r="31" spans="1:3" ht="27.9" customHeight="1"/>
    <row r="32" spans="1:3" ht="27.9" customHeight="1"/>
    <row r="33" ht="27.9" customHeight="1"/>
    <row r="34" ht="27.9" customHeight="1"/>
    <row r="35" ht="27.9" customHeight="1"/>
    <row r="36" ht="27.9" customHeight="1"/>
    <row r="37" ht="27.9" customHeight="1"/>
    <row r="38" ht="27.9" customHeight="1"/>
    <row r="39" ht="27.9" customHeight="1"/>
    <row r="40" ht="27.9" customHeight="1"/>
    <row r="41" ht="27.9" customHeight="1"/>
    <row r="42" ht="27.9" customHeight="1"/>
    <row r="43" ht="27.9" customHeight="1"/>
    <row r="44" ht="27.9" customHeight="1"/>
    <row r="45" ht="27.9" customHeight="1"/>
    <row r="46" ht="27.9" customHeight="1"/>
    <row r="47" ht="27.9" customHeight="1"/>
    <row r="48" ht="27.9" customHeight="1"/>
    <row r="49" ht="27.9" customHeight="1"/>
    <row r="50" ht="27.9" customHeight="1"/>
    <row r="51" ht="27.9" customHeight="1"/>
    <row r="52" ht="27.9" customHeight="1"/>
    <row r="53" ht="27.9" customHeight="1"/>
    <row r="54" ht="27.9" customHeight="1"/>
    <row r="55" ht="27.9" customHeight="1"/>
    <row r="56" ht="27.9" customHeight="1"/>
    <row r="57" ht="27.9" customHeight="1"/>
    <row r="58" ht="27.9" customHeight="1"/>
    <row r="59" ht="27.9" customHeight="1"/>
    <row r="60" ht="27.9" customHeight="1"/>
    <row r="61" ht="27.9" customHeight="1"/>
    <row r="62" ht="27.9" customHeight="1"/>
    <row r="63" ht="27.9" customHeight="1"/>
    <row r="64" ht="27.9" customHeight="1"/>
    <row r="65" ht="27.9" customHeight="1"/>
    <row r="66" ht="27.9" customHeight="1"/>
    <row r="67" ht="27.9" customHeight="1"/>
    <row r="68" ht="27.9" customHeight="1"/>
    <row r="69" ht="27.9" customHeight="1"/>
    <row r="70" ht="27.9" customHeight="1"/>
    <row r="71" ht="27.9" customHeight="1"/>
    <row r="72" ht="27.9" customHeight="1"/>
    <row r="73" ht="27.9" customHeight="1"/>
  </sheetData>
  <mergeCells count="26">
    <mergeCell ref="A29:B29"/>
    <mergeCell ref="A30:B30"/>
    <mergeCell ref="A21:A23"/>
    <mergeCell ref="A24:B24"/>
    <mergeCell ref="A25:B25"/>
    <mergeCell ref="A26:B26"/>
    <mergeCell ref="A27:B27"/>
    <mergeCell ref="A28:B28"/>
    <mergeCell ref="A18:A20"/>
    <mergeCell ref="A7:B7"/>
    <mergeCell ref="A8:B8"/>
    <mergeCell ref="A9:B9"/>
    <mergeCell ref="A10:B10"/>
    <mergeCell ref="A11:B11"/>
    <mergeCell ref="A12:B12"/>
    <mergeCell ref="A13:B13"/>
    <mergeCell ref="A14:B14"/>
    <mergeCell ref="A15:B15"/>
    <mergeCell ref="A16:B16"/>
    <mergeCell ref="A17:B17"/>
    <mergeCell ref="A6:B6"/>
    <mergeCell ref="A1:C1"/>
    <mergeCell ref="A2:B2"/>
    <mergeCell ref="A3:B3"/>
    <mergeCell ref="A4:B4"/>
    <mergeCell ref="A5:B5"/>
  </mergeCells>
  <phoneticPr fontId="4"/>
  <pageMargins left="0.7" right="0.7" top="0.75" bottom="0.75" header="0.3" footer="0.3"/>
  <pageSetup paperSize="9" scale="91" fitToHeight="0"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C20F8-0B0E-4C90-8F29-CFFCEA7C6F99}">
  <sheetPr codeName="Sheet86">
    <pageSetUpPr fitToPage="1"/>
  </sheetPr>
  <dimension ref="A1:I43"/>
  <sheetViews>
    <sheetView zoomScaleNormal="100" workbookViewId="0"/>
  </sheetViews>
  <sheetFormatPr defaultColWidth="9" defaultRowHeight="10.8"/>
  <cols>
    <col min="1" max="1" width="13.19921875" style="29" customWidth="1"/>
    <col min="2" max="2" width="14.09765625" style="29" customWidth="1"/>
    <col min="3" max="3" width="9.8984375" style="29" customWidth="1"/>
    <col min="4" max="4" width="19.3984375" style="29" customWidth="1"/>
    <col min="5" max="5" width="9.19921875" style="1077" customWidth="1"/>
    <col min="6" max="6" width="17.8984375" style="923" customWidth="1"/>
    <col min="7" max="7" width="1.5" style="29" customWidth="1"/>
    <col min="8" max="8" width="1.69921875" style="29" customWidth="1"/>
    <col min="9" max="9" width="64.59765625" style="29" customWidth="1"/>
    <col min="10" max="16384" width="9" style="29"/>
  </cols>
  <sheetData>
    <row r="1" spans="1:9" ht="30" customHeight="1" thickBot="1">
      <c r="A1" s="2914" t="s">
        <v>2192</v>
      </c>
      <c r="B1" s="2914"/>
      <c r="C1" s="2914"/>
      <c r="D1" s="2914"/>
      <c r="E1" s="2914"/>
      <c r="F1" s="2914"/>
      <c r="I1" s="1074"/>
    </row>
    <row r="2" spans="1:9" s="1077" customFormat="1" ht="28.5" customHeight="1">
      <c r="A2" s="2825" t="s">
        <v>2193</v>
      </c>
      <c r="B2" s="2825"/>
      <c r="C2" s="2826"/>
      <c r="D2" s="925" t="s">
        <v>2194</v>
      </c>
      <c r="E2" s="925" t="s">
        <v>2195</v>
      </c>
      <c r="F2" s="927" t="s">
        <v>2196</v>
      </c>
      <c r="G2" s="1075"/>
      <c r="H2" s="1076"/>
      <c r="I2" s="1076" t="s">
        <v>2197</v>
      </c>
    </row>
    <row r="3" spans="1:9" ht="28.5" customHeight="1">
      <c r="A3" s="2827" t="s">
        <v>2198</v>
      </c>
      <c r="B3" s="2827"/>
      <c r="C3" s="2828"/>
      <c r="D3" s="1078" t="s">
        <v>2199</v>
      </c>
      <c r="E3" s="130" t="s">
        <v>2200</v>
      </c>
      <c r="F3" s="1079">
        <v>10550</v>
      </c>
      <c r="G3" s="1080"/>
      <c r="H3" s="1081"/>
      <c r="I3" s="1081" t="s">
        <v>2201</v>
      </c>
    </row>
    <row r="4" spans="1:9" ht="28.5" customHeight="1">
      <c r="A4" s="2827" t="s">
        <v>2202</v>
      </c>
      <c r="B4" s="2827"/>
      <c r="C4" s="2828"/>
      <c r="D4" s="1078" t="s">
        <v>2203</v>
      </c>
      <c r="E4" s="130" t="s">
        <v>2204</v>
      </c>
      <c r="F4" s="1079">
        <v>12071</v>
      </c>
      <c r="G4" s="1080"/>
      <c r="H4" s="1081"/>
      <c r="I4" s="1081" t="s">
        <v>2205</v>
      </c>
    </row>
    <row r="5" spans="1:9" ht="28.5" customHeight="1">
      <c r="A5" s="2284" t="s">
        <v>2206</v>
      </c>
      <c r="B5" s="2829" t="s">
        <v>2207</v>
      </c>
      <c r="C5" s="2828"/>
      <c r="D5" s="1078" t="s">
        <v>2208</v>
      </c>
      <c r="E5" s="130" t="s">
        <v>2209</v>
      </c>
      <c r="F5" s="1079">
        <v>12198.02</v>
      </c>
      <c r="G5" s="1080"/>
      <c r="H5" s="1081"/>
      <c r="I5" s="1081" t="s">
        <v>2210</v>
      </c>
    </row>
    <row r="6" spans="1:9" ht="28.5" customHeight="1">
      <c r="A6" s="2739"/>
      <c r="B6" s="2829" t="s">
        <v>2211</v>
      </c>
      <c r="C6" s="2828"/>
      <c r="D6" s="1078" t="s">
        <v>2212</v>
      </c>
      <c r="E6" s="130" t="s">
        <v>2209</v>
      </c>
      <c r="F6" s="1079">
        <v>966.24</v>
      </c>
      <c r="G6" s="1080"/>
      <c r="H6" s="1081"/>
      <c r="I6" s="1081" t="s">
        <v>2213</v>
      </c>
    </row>
    <row r="7" spans="1:9" ht="28.5" customHeight="1">
      <c r="A7" s="2827" t="s">
        <v>2214</v>
      </c>
      <c r="B7" s="2827"/>
      <c r="C7" s="2828"/>
      <c r="D7" s="1078" t="s">
        <v>2215</v>
      </c>
      <c r="E7" s="130" t="s">
        <v>2209</v>
      </c>
      <c r="F7" s="1079">
        <v>9845.41</v>
      </c>
      <c r="G7" s="1080"/>
      <c r="H7" s="1081"/>
      <c r="I7" s="1081" t="s">
        <v>2216</v>
      </c>
    </row>
    <row r="8" spans="1:9" ht="28.5" customHeight="1">
      <c r="A8" s="2827" t="s">
        <v>2217</v>
      </c>
      <c r="B8" s="2827"/>
      <c r="C8" s="2828"/>
      <c r="D8" s="1078" t="s">
        <v>2218</v>
      </c>
      <c r="E8" s="130" t="s">
        <v>2219</v>
      </c>
      <c r="F8" s="1079">
        <v>1550</v>
      </c>
      <c r="G8" s="1080"/>
      <c r="H8" s="1081"/>
      <c r="I8" s="1081" t="s">
        <v>2220</v>
      </c>
    </row>
    <row r="9" spans="1:9" ht="28.5" customHeight="1">
      <c r="A9" s="2191" t="s">
        <v>2221</v>
      </c>
      <c r="B9" s="2829" t="s">
        <v>2222</v>
      </c>
      <c r="C9" s="2828"/>
      <c r="D9" s="2830" t="s">
        <v>2223</v>
      </c>
      <c r="E9" s="130" t="s">
        <v>2224</v>
      </c>
      <c r="F9" s="1079">
        <v>21755</v>
      </c>
      <c r="G9" s="1080"/>
      <c r="H9" s="1081"/>
      <c r="I9" s="1081" t="s">
        <v>2225</v>
      </c>
    </row>
    <row r="10" spans="1:9" ht="28.5" customHeight="1">
      <c r="A10" s="2181"/>
      <c r="B10" s="2829" t="s">
        <v>2226</v>
      </c>
      <c r="C10" s="2828"/>
      <c r="D10" s="2831"/>
      <c r="E10" s="130" t="s">
        <v>2204</v>
      </c>
      <c r="F10" s="1079">
        <v>12401</v>
      </c>
      <c r="G10" s="1080"/>
      <c r="H10" s="1081"/>
      <c r="I10" s="1081" t="s">
        <v>2227</v>
      </c>
    </row>
    <row r="11" spans="1:9" ht="28.5" customHeight="1">
      <c r="A11" s="2181"/>
      <c r="B11" s="2833" t="s">
        <v>2228</v>
      </c>
      <c r="C11" s="1082" t="s">
        <v>2229</v>
      </c>
      <c r="D11" s="2831"/>
      <c r="E11" s="130" t="s">
        <v>2230</v>
      </c>
      <c r="F11" s="1079">
        <v>2815.74</v>
      </c>
      <c r="G11" s="1080"/>
      <c r="H11" s="1081"/>
      <c r="I11" s="1081" t="s">
        <v>2231</v>
      </c>
    </row>
    <row r="12" spans="1:9" ht="28.5" customHeight="1">
      <c r="A12" s="2181"/>
      <c r="B12" s="2834"/>
      <c r="C12" s="1082" t="s">
        <v>2229</v>
      </c>
      <c r="D12" s="2831"/>
      <c r="E12" s="130" t="s">
        <v>2232</v>
      </c>
      <c r="F12" s="1079">
        <v>2908.8</v>
      </c>
      <c r="G12" s="1080"/>
      <c r="H12" s="1081"/>
      <c r="I12" s="1081" t="s">
        <v>2233</v>
      </c>
    </row>
    <row r="13" spans="1:9" ht="28.5" customHeight="1">
      <c r="A13" s="2181"/>
      <c r="B13" s="2829" t="s">
        <v>2234</v>
      </c>
      <c r="C13" s="2828"/>
      <c r="D13" s="2831"/>
      <c r="E13" s="130" t="s">
        <v>2235</v>
      </c>
      <c r="F13" s="1079">
        <v>12677.23</v>
      </c>
      <c r="G13" s="1080"/>
      <c r="H13" s="1081"/>
      <c r="I13" s="1081" t="s">
        <v>2236</v>
      </c>
    </row>
    <row r="14" spans="1:9" ht="28.5" customHeight="1">
      <c r="A14" s="2181"/>
      <c r="B14" s="2829" t="s">
        <v>2237</v>
      </c>
      <c r="C14" s="2828"/>
      <c r="D14" s="2831"/>
      <c r="E14" s="130" t="s">
        <v>2238</v>
      </c>
      <c r="F14" s="1079">
        <v>10005</v>
      </c>
      <c r="G14" s="1080"/>
      <c r="H14" s="1081"/>
      <c r="I14" s="1081" t="s">
        <v>2239</v>
      </c>
    </row>
    <row r="15" spans="1:9" ht="28.5" customHeight="1">
      <c r="A15" s="2181"/>
      <c r="B15" s="2829" t="s">
        <v>2240</v>
      </c>
      <c r="C15" s="2828"/>
      <c r="D15" s="2831"/>
      <c r="E15" s="130" t="s">
        <v>2238</v>
      </c>
      <c r="F15" s="1079">
        <v>864.79</v>
      </c>
      <c r="G15" s="1080"/>
      <c r="H15" s="1081"/>
      <c r="I15" s="1081" t="s">
        <v>2241</v>
      </c>
    </row>
    <row r="16" spans="1:9" ht="28.5" customHeight="1">
      <c r="A16" s="2181"/>
      <c r="B16" s="2829" t="s">
        <v>2242</v>
      </c>
      <c r="C16" s="2828"/>
      <c r="D16" s="2831"/>
      <c r="E16" s="130" t="s">
        <v>2243</v>
      </c>
      <c r="F16" s="2194" t="s">
        <v>2244</v>
      </c>
      <c r="G16" s="2835"/>
      <c r="H16" s="1083"/>
      <c r="I16" s="2837"/>
    </row>
    <row r="17" spans="1:9" ht="28.5" customHeight="1">
      <c r="A17" s="2181"/>
      <c r="B17" s="2829" t="s">
        <v>2245</v>
      </c>
      <c r="C17" s="2828"/>
      <c r="D17" s="2831"/>
      <c r="E17" s="130" t="s">
        <v>2246</v>
      </c>
      <c r="F17" s="2536"/>
      <c r="G17" s="2836"/>
      <c r="H17" s="1084"/>
      <c r="I17" s="2838"/>
    </row>
    <row r="18" spans="1:9" ht="49.5" customHeight="1">
      <c r="A18" s="2181"/>
      <c r="B18" s="2829" t="s">
        <v>2247</v>
      </c>
      <c r="C18" s="2828"/>
      <c r="D18" s="2831"/>
      <c r="E18" s="130" t="s">
        <v>2246</v>
      </c>
      <c r="F18" s="1079">
        <v>4863.01</v>
      </c>
      <c r="G18" s="1080"/>
      <c r="H18" s="1081"/>
      <c r="I18" s="1085" t="s">
        <v>2248</v>
      </c>
    </row>
    <row r="19" spans="1:9" ht="30" customHeight="1">
      <c r="A19" s="2181"/>
      <c r="B19" s="2829" t="s">
        <v>2249</v>
      </c>
      <c r="C19" s="2828"/>
      <c r="D19" s="2831"/>
      <c r="E19" s="130" t="s">
        <v>2224</v>
      </c>
      <c r="F19" s="1079">
        <v>1097</v>
      </c>
      <c r="G19" s="1080"/>
      <c r="H19" s="1081"/>
      <c r="I19" s="1085" t="s">
        <v>2250</v>
      </c>
    </row>
    <row r="20" spans="1:9" ht="30" customHeight="1">
      <c r="A20" s="2181"/>
      <c r="B20" s="2829" t="s">
        <v>2251</v>
      </c>
      <c r="C20" s="2828"/>
      <c r="D20" s="2831"/>
      <c r="E20" s="130" t="s">
        <v>2204</v>
      </c>
      <c r="F20" s="1079">
        <v>739</v>
      </c>
      <c r="G20" s="1080"/>
      <c r="H20" s="1081"/>
      <c r="I20" s="1085" t="s">
        <v>2252</v>
      </c>
    </row>
    <row r="21" spans="1:9" ht="49.5" customHeight="1">
      <c r="A21" s="2181"/>
      <c r="B21" s="2829" t="s">
        <v>2253</v>
      </c>
      <c r="C21" s="2828"/>
      <c r="D21" s="2831"/>
      <c r="E21" s="130" t="s">
        <v>2235</v>
      </c>
      <c r="F21" s="1079">
        <v>704.09</v>
      </c>
      <c r="G21" s="1080"/>
      <c r="H21" s="1081"/>
      <c r="I21" s="1085" t="s">
        <v>2254</v>
      </c>
    </row>
    <row r="22" spans="1:9" ht="28.5" customHeight="1">
      <c r="A22" s="2181"/>
      <c r="B22" s="2829" t="s">
        <v>2255</v>
      </c>
      <c r="C22" s="2828"/>
      <c r="D22" s="2831"/>
      <c r="E22" s="130" t="s">
        <v>2256</v>
      </c>
      <c r="F22" s="1079">
        <v>987.13</v>
      </c>
      <c r="G22" s="1080"/>
      <c r="H22" s="1086"/>
      <c r="I22" s="1081" t="s">
        <v>2257</v>
      </c>
    </row>
    <row r="23" spans="1:9" ht="28.5" customHeight="1">
      <c r="A23" s="2181"/>
      <c r="B23" s="2829" t="s">
        <v>2258</v>
      </c>
      <c r="C23" s="2828"/>
      <c r="D23" s="2831"/>
      <c r="E23" s="246" t="s">
        <v>2259</v>
      </c>
      <c r="F23" s="1087">
        <v>1997.58</v>
      </c>
      <c r="G23" s="1080"/>
      <c r="H23" s="1084"/>
      <c r="I23" s="1084" t="s">
        <v>2260</v>
      </c>
    </row>
    <row r="24" spans="1:9" ht="28.5" customHeight="1">
      <c r="A24" s="2182"/>
      <c r="B24" s="2829" t="s">
        <v>2261</v>
      </c>
      <c r="C24" s="2828"/>
      <c r="D24" s="2832"/>
      <c r="E24" s="246" t="s">
        <v>2262</v>
      </c>
      <c r="F24" s="1087">
        <v>2750</v>
      </c>
      <c r="G24" s="1088"/>
      <c r="H24" s="1084"/>
    </row>
    <row r="25" spans="1:9" ht="30" customHeight="1">
      <c r="A25" s="2839" t="s">
        <v>2263</v>
      </c>
      <c r="B25" s="2829" t="s">
        <v>2211</v>
      </c>
      <c r="C25" s="2828"/>
      <c r="D25" s="1078" t="s">
        <v>2264</v>
      </c>
      <c r="E25" s="130" t="s">
        <v>2265</v>
      </c>
      <c r="F25" s="1079">
        <v>1627.8</v>
      </c>
      <c r="G25" s="1080"/>
      <c r="H25" s="1081"/>
      <c r="I25" s="1085" t="s">
        <v>2266</v>
      </c>
    </row>
    <row r="26" spans="1:9" ht="28.5" customHeight="1">
      <c r="A26" s="2840"/>
      <c r="B26" s="2829" t="s">
        <v>2267</v>
      </c>
      <c r="C26" s="2828"/>
      <c r="D26" s="1078" t="s">
        <v>2268</v>
      </c>
      <c r="E26" s="130" t="s">
        <v>2265</v>
      </c>
      <c r="F26" s="1079">
        <v>450</v>
      </c>
      <c r="G26" s="1080"/>
      <c r="H26" s="1081"/>
      <c r="I26" s="1081" t="s">
        <v>2269</v>
      </c>
    </row>
    <row r="27" spans="1:9" ht="28.5" customHeight="1">
      <c r="A27" s="2841"/>
      <c r="B27" s="2829" t="s">
        <v>2237</v>
      </c>
      <c r="C27" s="2828"/>
      <c r="D27" s="1078" t="s">
        <v>2270</v>
      </c>
      <c r="E27" s="130" t="s">
        <v>2243</v>
      </c>
      <c r="F27" s="1079">
        <v>11279</v>
      </c>
      <c r="G27" s="1089"/>
      <c r="H27" s="1081"/>
      <c r="I27" s="1083" t="s">
        <v>2201</v>
      </c>
    </row>
    <row r="28" spans="1:9" ht="28.5" customHeight="1">
      <c r="A28" s="2827" t="s">
        <v>2271</v>
      </c>
      <c r="B28" s="2827"/>
      <c r="C28" s="2828"/>
      <c r="D28" s="1078" t="s">
        <v>2272</v>
      </c>
      <c r="E28" s="130" t="s">
        <v>2273</v>
      </c>
      <c r="F28" s="1079">
        <v>5000</v>
      </c>
      <c r="G28" s="1080"/>
      <c r="H28" s="1083"/>
      <c r="I28" s="1081" t="s">
        <v>2274</v>
      </c>
    </row>
    <row r="29" spans="1:9" ht="28.5" customHeight="1">
      <c r="A29" s="2842" t="s">
        <v>2275</v>
      </c>
      <c r="B29" s="2842"/>
      <c r="C29" s="2843"/>
      <c r="D29" s="226" t="s">
        <v>2276</v>
      </c>
      <c r="E29" s="245" t="s">
        <v>2232</v>
      </c>
      <c r="F29" s="1090">
        <v>1703</v>
      </c>
      <c r="G29" s="1089"/>
      <c r="H29" s="1083"/>
      <c r="I29" s="1081" t="s">
        <v>2277</v>
      </c>
    </row>
    <row r="30" spans="1:9" ht="28.5" customHeight="1">
      <c r="A30" s="2827" t="s">
        <v>2278</v>
      </c>
      <c r="B30" s="2827"/>
      <c r="C30" s="2828"/>
      <c r="D30" s="1078" t="s">
        <v>2279</v>
      </c>
      <c r="E30" s="130" t="s">
        <v>2280</v>
      </c>
      <c r="F30" s="1079">
        <v>11000</v>
      </c>
      <c r="G30" s="1089"/>
      <c r="H30" s="1083"/>
      <c r="I30" s="29" t="s">
        <v>2281</v>
      </c>
    </row>
    <row r="31" spans="1:9" ht="28.5" customHeight="1">
      <c r="A31" s="2827" t="s">
        <v>2282</v>
      </c>
      <c r="B31" s="2827"/>
      <c r="C31" s="2828"/>
      <c r="D31" s="1078" t="s">
        <v>2279</v>
      </c>
      <c r="E31" s="130" t="s">
        <v>2280</v>
      </c>
      <c r="F31" s="1079">
        <v>1636</v>
      </c>
      <c r="G31" s="1089"/>
      <c r="H31" s="1083"/>
      <c r="I31" s="1081" t="s">
        <v>2283</v>
      </c>
    </row>
    <row r="32" spans="1:9" ht="28.5" customHeight="1">
      <c r="A32" s="2827" t="s">
        <v>2284</v>
      </c>
      <c r="B32" s="2827"/>
      <c r="C32" s="2828"/>
      <c r="D32" s="1078" t="s">
        <v>2285</v>
      </c>
      <c r="E32" s="130" t="s">
        <v>2286</v>
      </c>
      <c r="F32" s="1079">
        <v>6000</v>
      </c>
      <c r="G32" s="1089"/>
      <c r="H32" s="1083"/>
      <c r="I32" s="29" t="s">
        <v>2287</v>
      </c>
    </row>
    <row r="33" spans="1:9" ht="28.5" customHeight="1">
      <c r="A33" s="2827" t="s">
        <v>2288</v>
      </c>
      <c r="B33" s="2827"/>
      <c r="C33" s="2828"/>
      <c r="D33" s="1078" t="s">
        <v>2289</v>
      </c>
      <c r="E33" s="130" t="s">
        <v>2290</v>
      </c>
      <c r="F33" s="1079">
        <v>584.73</v>
      </c>
      <c r="G33" s="1089"/>
      <c r="H33" s="1083"/>
      <c r="I33" s="1081" t="s">
        <v>2291</v>
      </c>
    </row>
    <row r="34" spans="1:9" ht="28.5" customHeight="1">
      <c r="A34" s="2827" t="s">
        <v>2292</v>
      </c>
      <c r="B34" s="2827"/>
      <c r="C34" s="2828"/>
      <c r="D34" s="1078" t="s">
        <v>2293</v>
      </c>
      <c r="E34" s="130" t="s">
        <v>2294</v>
      </c>
      <c r="F34" s="1079">
        <v>9600</v>
      </c>
      <c r="G34" s="1089"/>
      <c r="H34" s="1083"/>
      <c r="I34" s="1081" t="s">
        <v>2295</v>
      </c>
    </row>
    <row r="35" spans="1:9" ht="28.5" customHeight="1">
      <c r="A35" s="2827" t="s">
        <v>2296</v>
      </c>
      <c r="B35" s="2827"/>
      <c r="C35" s="2828"/>
      <c r="D35" s="1078" t="s">
        <v>2297</v>
      </c>
      <c r="E35" s="130" t="s">
        <v>2230</v>
      </c>
      <c r="F35" s="1079">
        <v>650</v>
      </c>
      <c r="G35" s="1089"/>
      <c r="H35" s="1083"/>
      <c r="I35" s="1081" t="s">
        <v>2298</v>
      </c>
    </row>
    <row r="36" spans="1:9" ht="28.5" customHeight="1">
      <c r="A36" s="2827" t="s">
        <v>2299</v>
      </c>
      <c r="B36" s="2827"/>
      <c r="C36" s="2828"/>
      <c r="D36" s="1078" t="s">
        <v>2300</v>
      </c>
      <c r="E36" s="130" t="s">
        <v>2301</v>
      </c>
      <c r="F36" s="1079">
        <v>6492</v>
      </c>
      <c r="G36" s="1089"/>
      <c r="H36" s="1083"/>
      <c r="I36" s="29" t="s">
        <v>2302</v>
      </c>
    </row>
    <row r="37" spans="1:9" ht="28.5" customHeight="1">
      <c r="A37" s="2827" t="s">
        <v>2303</v>
      </c>
      <c r="B37" s="2827"/>
      <c r="C37" s="2828"/>
      <c r="D37" s="1078" t="s">
        <v>2304</v>
      </c>
      <c r="E37" s="130" t="s">
        <v>2305</v>
      </c>
      <c r="F37" s="1079">
        <v>28873</v>
      </c>
      <c r="G37" s="1089"/>
      <c r="H37" s="1083"/>
      <c r="I37" s="1081" t="s">
        <v>2306</v>
      </c>
    </row>
    <row r="38" spans="1:9" ht="28.5" customHeight="1">
      <c r="A38" s="2827" t="s">
        <v>2307</v>
      </c>
      <c r="B38" s="2827"/>
      <c r="C38" s="2828"/>
      <c r="D38" s="1078" t="s">
        <v>2308</v>
      </c>
      <c r="E38" s="130" t="s">
        <v>2309</v>
      </c>
      <c r="F38" s="1079">
        <v>5857</v>
      </c>
      <c r="G38" s="1089"/>
      <c r="H38" s="1083"/>
      <c r="I38" s="29" t="s">
        <v>2310</v>
      </c>
    </row>
    <row r="39" spans="1:9" ht="28.5" customHeight="1">
      <c r="A39" s="2827" t="s">
        <v>2311</v>
      </c>
      <c r="B39" s="2827"/>
      <c r="C39" s="2828"/>
      <c r="D39" s="1078" t="s">
        <v>2312</v>
      </c>
      <c r="E39" s="130" t="s">
        <v>2290</v>
      </c>
      <c r="F39" s="1079">
        <v>1411</v>
      </c>
      <c r="G39" s="1089"/>
      <c r="H39" s="1083"/>
      <c r="I39" s="1081" t="s">
        <v>2313</v>
      </c>
    </row>
    <row r="40" spans="1:9" ht="28.5" customHeight="1">
      <c r="A40" s="2827" t="s">
        <v>2314</v>
      </c>
      <c r="B40" s="2827"/>
      <c r="C40" s="2828"/>
      <c r="D40" s="1078" t="s">
        <v>2315</v>
      </c>
      <c r="E40" s="130" t="s">
        <v>2305</v>
      </c>
      <c r="F40" s="1079">
        <v>1478</v>
      </c>
      <c r="G40" s="1089"/>
      <c r="H40" s="1083"/>
      <c r="I40" s="1081" t="s">
        <v>2313</v>
      </c>
    </row>
    <row r="41" spans="1:9" ht="28.5" customHeight="1">
      <c r="A41" s="2827" t="s">
        <v>2316</v>
      </c>
      <c r="B41" s="2827"/>
      <c r="C41" s="2828"/>
      <c r="D41" s="1078" t="s">
        <v>2317</v>
      </c>
      <c r="E41" s="130" t="s">
        <v>2238</v>
      </c>
      <c r="F41" s="1079">
        <v>1171</v>
      </c>
      <c r="G41" s="1080"/>
      <c r="H41" s="1083"/>
      <c r="I41" s="1081" t="s">
        <v>2318</v>
      </c>
    </row>
    <row r="42" spans="1:9" ht="28.5" customHeight="1" thickBot="1">
      <c r="A42" s="2844" t="s">
        <v>2319</v>
      </c>
      <c r="B42" s="2844"/>
      <c r="C42" s="2845"/>
      <c r="D42" s="1091" t="s">
        <v>2320</v>
      </c>
      <c r="E42" s="1018" t="s">
        <v>2243</v>
      </c>
      <c r="F42" s="1092">
        <v>2531</v>
      </c>
      <c r="G42" s="1093"/>
      <c r="H42" s="1094"/>
      <c r="I42" s="1094" t="s">
        <v>2321</v>
      </c>
    </row>
    <row r="43" spans="1:9" ht="15.75" customHeight="1"/>
  </sheetData>
  <mergeCells count="47">
    <mergeCell ref="A42:C42"/>
    <mergeCell ref="A36:C36"/>
    <mergeCell ref="A37:C37"/>
    <mergeCell ref="A38:C38"/>
    <mergeCell ref="A39:C39"/>
    <mergeCell ref="A40:C40"/>
    <mergeCell ref="A41:C41"/>
    <mergeCell ref="B23:C23"/>
    <mergeCell ref="A35:C35"/>
    <mergeCell ref="A25:A27"/>
    <mergeCell ref="B25:C25"/>
    <mergeCell ref="B26:C26"/>
    <mergeCell ref="B27:C27"/>
    <mergeCell ref="A28:C28"/>
    <mergeCell ref="A29:C29"/>
    <mergeCell ref="A30:C30"/>
    <mergeCell ref="A31:C31"/>
    <mergeCell ref="A32:C32"/>
    <mergeCell ref="A33:C33"/>
    <mergeCell ref="A34:C34"/>
    <mergeCell ref="F16:F17"/>
    <mergeCell ref="G16:G17"/>
    <mergeCell ref="I16:I17"/>
    <mergeCell ref="B17:C17"/>
    <mergeCell ref="B18:C18"/>
    <mergeCell ref="A7:C7"/>
    <mergeCell ref="A8:C8"/>
    <mergeCell ref="A9:A24"/>
    <mergeCell ref="B9:C9"/>
    <mergeCell ref="D9:D24"/>
    <mergeCell ref="B10:C10"/>
    <mergeCell ref="B11:B12"/>
    <mergeCell ref="B13:C13"/>
    <mergeCell ref="B14:C14"/>
    <mergeCell ref="B15:C15"/>
    <mergeCell ref="B24:C24"/>
    <mergeCell ref="B16:C16"/>
    <mergeCell ref="B19:C19"/>
    <mergeCell ref="B20:C20"/>
    <mergeCell ref="B21:C21"/>
    <mergeCell ref="B22:C22"/>
    <mergeCell ref="A2:C2"/>
    <mergeCell ref="A3:C3"/>
    <mergeCell ref="A4:C4"/>
    <mergeCell ref="A5:A6"/>
    <mergeCell ref="B5:C5"/>
    <mergeCell ref="B6:C6"/>
  </mergeCells>
  <phoneticPr fontId="4"/>
  <printOptions horizontalCentered="1"/>
  <pageMargins left="0.78740157480314965" right="0.78740157480314965" top="0.98425196850393704" bottom="0.98425196850393704" header="0.51181102362204722" footer="0.51181102362204722"/>
  <pageSetup paperSize="9" scale="5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289A4-215E-4909-9490-90AED7E48E44}">
  <sheetPr codeName="Sheet9">
    <pageSetUpPr fitToPage="1"/>
  </sheetPr>
  <dimension ref="A1:N20"/>
  <sheetViews>
    <sheetView showGridLines="0" workbookViewId="0"/>
  </sheetViews>
  <sheetFormatPr defaultColWidth="9.5" defaultRowHeight="18.75" customHeight="1"/>
  <cols>
    <col min="1" max="2" width="8.09765625" style="11" customWidth="1"/>
    <col min="3" max="14" width="6.09765625" style="11" customWidth="1"/>
    <col min="15" max="259" width="9.5" style="11"/>
    <col min="260" max="261" width="8.09765625" style="11" customWidth="1"/>
    <col min="262" max="270" width="6.09765625" style="11" customWidth="1"/>
    <col min="271" max="515" width="9.5" style="11"/>
    <col min="516" max="517" width="8.09765625" style="11" customWidth="1"/>
    <col min="518" max="526" width="6.09765625" style="11" customWidth="1"/>
    <col min="527" max="771" width="9.5" style="11"/>
    <col min="772" max="773" width="8.09765625" style="11" customWidth="1"/>
    <col min="774" max="782" width="6.09765625" style="11" customWidth="1"/>
    <col min="783" max="1027" width="9.5" style="11"/>
    <col min="1028" max="1029" width="8.09765625" style="11" customWidth="1"/>
    <col min="1030" max="1038" width="6.09765625" style="11" customWidth="1"/>
    <col min="1039" max="1283" width="9.5" style="11"/>
    <col min="1284" max="1285" width="8.09765625" style="11" customWidth="1"/>
    <col min="1286" max="1294" width="6.09765625" style="11" customWidth="1"/>
    <col min="1295" max="1539" width="9.5" style="11"/>
    <col min="1540" max="1541" width="8.09765625" style="11" customWidth="1"/>
    <col min="1542" max="1550" width="6.09765625" style="11" customWidth="1"/>
    <col min="1551" max="1795" width="9.5" style="11"/>
    <col min="1796" max="1797" width="8.09765625" style="11" customWidth="1"/>
    <col min="1798" max="1806" width="6.09765625" style="11" customWidth="1"/>
    <col min="1807" max="2051" width="9.5" style="11"/>
    <col min="2052" max="2053" width="8.09765625" style="11" customWidth="1"/>
    <col min="2054" max="2062" width="6.09765625" style="11" customWidth="1"/>
    <col min="2063" max="2307" width="9.5" style="11"/>
    <col min="2308" max="2309" width="8.09765625" style="11" customWidth="1"/>
    <col min="2310" max="2318" width="6.09765625" style="11" customWidth="1"/>
    <col min="2319" max="2563" width="9.5" style="11"/>
    <col min="2564" max="2565" width="8.09765625" style="11" customWidth="1"/>
    <col min="2566" max="2574" width="6.09765625" style="11" customWidth="1"/>
    <col min="2575" max="2819" width="9.5" style="11"/>
    <col min="2820" max="2821" width="8.09765625" style="11" customWidth="1"/>
    <col min="2822" max="2830" width="6.09765625" style="11" customWidth="1"/>
    <col min="2831" max="3075" width="9.5" style="11"/>
    <col min="3076" max="3077" width="8.09765625" style="11" customWidth="1"/>
    <col min="3078" max="3086" width="6.09765625" style="11" customWidth="1"/>
    <col min="3087" max="3331" width="9.5" style="11"/>
    <col min="3332" max="3333" width="8.09765625" style="11" customWidth="1"/>
    <col min="3334" max="3342" width="6.09765625" style="11" customWidth="1"/>
    <col min="3343" max="3587" width="9.5" style="11"/>
    <col min="3588" max="3589" width="8.09765625" style="11" customWidth="1"/>
    <col min="3590" max="3598" width="6.09765625" style="11" customWidth="1"/>
    <col min="3599" max="3843" width="9.5" style="11"/>
    <col min="3844" max="3845" width="8.09765625" style="11" customWidth="1"/>
    <col min="3846" max="3854" width="6.09765625" style="11" customWidth="1"/>
    <col min="3855" max="4099" width="9.5" style="11"/>
    <col min="4100" max="4101" width="8.09765625" style="11" customWidth="1"/>
    <col min="4102" max="4110" width="6.09765625" style="11" customWidth="1"/>
    <col min="4111" max="4355" width="9.5" style="11"/>
    <col min="4356" max="4357" width="8.09765625" style="11" customWidth="1"/>
    <col min="4358" max="4366" width="6.09765625" style="11" customWidth="1"/>
    <col min="4367" max="4611" width="9.5" style="11"/>
    <col min="4612" max="4613" width="8.09765625" style="11" customWidth="1"/>
    <col min="4614" max="4622" width="6.09765625" style="11" customWidth="1"/>
    <col min="4623" max="4867" width="9.5" style="11"/>
    <col min="4868" max="4869" width="8.09765625" style="11" customWidth="1"/>
    <col min="4870" max="4878" width="6.09765625" style="11" customWidth="1"/>
    <col min="4879" max="5123" width="9.5" style="11"/>
    <col min="5124" max="5125" width="8.09765625" style="11" customWidth="1"/>
    <col min="5126" max="5134" width="6.09765625" style="11" customWidth="1"/>
    <col min="5135" max="5379" width="9.5" style="11"/>
    <col min="5380" max="5381" width="8.09765625" style="11" customWidth="1"/>
    <col min="5382" max="5390" width="6.09765625" style="11" customWidth="1"/>
    <col min="5391" max="5635" width="9.5" style="11"/>
    <col min="5636" max="5637" width="8.09765625" style="11" customWidth="1"/>
    <col min="5638" max="5646" width="6.09765625" style="11" customWidth="1"/>
    <col min="5647" max="5891" width="9.5" style="11"/>
    <col min="5892" max="5893" width="8.09765625" style="11" customWidth="1"/>
    <col min="5894" max="5902" width="6.09765625" style="11" customWidth="1"/>
    <col min="5903" max="6147" width="9.5" style="11"/>
    <col min="6148" max="6149" width="8.09765625" style="11" customWidth="1"/>
    <col min="6150" max="6158" width="6.09765625" style="11" customWidth="1"/>
    <col min="6159" max="6403" width="9.5" style="11"/>
    <col min="6404" max="6405" width="8.09765625" style="11" customWidth="1"/>
    <col min="6406" max="6414" width="6.09765625" style="11" customWidth="1"/>
    <col min="6415" max="6659" width="9.5" style="11"/>
    <col min="6660" max="6661" width="8.09765625" style="11" customWidth="1"/>
    <col min="6662" max="6670" width="6.09765625" style="11" customWidth="1"/>
    <col min="6671" max="6915" width="9.5" style="11"/>
    <col min="6916" max="6917" width="8.09765625" style="11" customWidth="1"/>
    <col min="6918" max="6926" width="6.09765625" style="11" customWidth="1"/>
    <col min="6927" max="7171" width="9.5" style="11"/>
    <col min="7172" max="7173" width="8.09765625" style="11" customWidth="1"/>
    <col min="7174" max="7182" width="6.09765625" style="11" customWidth="1"/>
    <col min="7183" max="7427" width="9.5" style="11"/>
    <col min="7428" max="7429" width="8.09765625" style="11" customWidth="1"/>
    <col min="7430" max="7438" width="6.09765625" style="11" customWidth="1"/>
    <col min="7439" max="7683" width="9.5" style="11"/>
    <col min="7684" max="7685" width="8.09765625" style="11" customWidth="1"/>
    <col min="7686" max="7694" width="6.09765625" style="11" customWidth="1"/>
    <col min="7695" max="7939" width="9.5" style="11"/>
    <col min="7940" max="7941" width="8.09765625" style="11" customWidth="1"/>
    <col min="7942" max="7950" width="6.09765625" style="11" customWidth="1"/>
    <col min="7951" max="8195" width="9.5" style="11"/>
    <col min="8196" max="8197" width="8.09765625" style="11" customWidth="1"/>
    <col min="8198" max="8206" width="6.09765625" style="11" customWidth="1"/>
    <col min="8207" max="8451" width="9.5" style="11"/>
    <col min="8452" max="8453" width="8.09765625" style="11" customWidth="1"/>
    <col min="8454" max="8462" width="6.09765625" style="11" customWidth="1"/>
    <col min="8463" max="8707" width="9.5" style="11"/>
    <col min="8708" max="8709" width="8.09765625" style="11" customWidth="1"/>
    <col min="8710" max="8718" width="6.09765625" style="11" customWidth="1"/>
    <col min="8719" max="8963" width="9.5" style="11"/>
    <col min="8964" max="8965" width="8.09765625" style="11" customWidth="1"/>
    <col min="8966" max="8974" width="6.09765625" style="11" customWidth="1"/>
    <col min="8975" max="9219" width="9.5" style="11"/>
    <col min="9220" max="9221" width="8.09765625" style="11" customWidth="1"/>
    <col min="9222" max="9230" width="6.09765625" style="11" customWidth="1"/>
    <col min="9231" max="9475" width="9.5" style="11"/>
    <col min="9476" max="9477" width="8.09765625" style="11" customWidth="1"/>
    <col min="9478" max="9486" width="6.09765625" style="11" customWidth="1"/>
    <col min="9487" max="9731" width="9.5" style="11"/>
    <col min="9732" max="9733" width="8.09765625" style="11" customWidth="1"/>
    <col min="9734" max="9742" width="6.09765625" style="11" customWidth="1"/>
    <col min="9743" max="9987" width="9.5" style="11"/>
    <col min="9988" max="9989" width="8.09765625" style="11" customWidth="1"/>
    <col min="9990" max="9998" width="6.09765625" style="11" customWidth="1"/>
    <col min="9999" max="10243" width="9.5" style="11"/>
    <col min="10244" max="10245" width="8.09765625" style="11" customWidth="1"/>
    <col min="10246" max="10254" width="6.09765625" style="11" customWidth="1"/>
    <col min="10255" max="10499" width="9.5" style="11"/>
    <col min="10500" max="10501" width="8.09765625" style="11" customWidth="1"/>
    <col min="10502" max="10510" width="6.09765625" style="11" customWidth="1"/>
    <col min="10511" max="10755" width="9.5" style="11"/>
    <col min="10756" max="10757" width="8.09765625" style="11" customWidth="1"/>
    <col min="10758" max="10766" width="6.09765625" style="11" customWidth="1"/>
    <col min="10767" max="11011" width="9.5" style="11"/>
    <col min="11012" max="11013" width="8.09765625" style="11" customWidth="1"/>
    <col min="11014" max="11022" width="6.09765625" style="11" customWidth="1"/>
    <col min="11023" max="11267" width="9.5" style="11"/>
    <col min="11268" max="11269" width="8.09765625" style="11" customWidth="1"/>
    <col min="11270" max="11278" width="6.09765625" style="11" customWidth="1"/>
    <col min="11279" max="11523" width="9.5" style="11"/>
    <col min="11524" max="11525" width="8.09765625" style="11" customWidth="1"/>
    <col min="11526" max="11534" width="6.09765625" style="11" customWidth="1"/>
    <col min="11535" max="11779" width="9.5" style="11"/>
    <col min="11780" max="11781" width="8.09765625" style="11" customWidth="1"/>
    <col min="11782" max="11790" width="6.09765625" style="11" customWidth="1"/>
    <col min="11791" max="12035" width="9.5" style="11"/>
    <col min="12036" max="12037" width="8.09765625" style="11" customWidth="1"/>
    <col min="12038" max="12046" width="6.09765625" style="11" customWidth="1"/>
    <col min="12047" max="12291" width="9.5" style="11"/>
    <col min="12292" max="12293" width="8.09765625" style="11" customWidth="1"/>
    <col min="12294" max="12302" width="6.09765625" style="11" customWidth="1"/>
    <col min="12303" max="12547" width="9.5" style="11"/>
    <col min="12548" max="12549" width="8.09765625" style="11" customWidth="1"/>
    <col min="12550" max="12558" width="6.09765625" style="11" customWidth="1"/>
    <col min="12559" max="12803" width="9.5" style="11"/>
    <col min="12804" max="12805" width="8.09765625" style="11" customWidth="1"/>
    <col min="12806" max="12814" width="6.09765625" style="11" customWidth="1"/>
    <col min="12815" max="13059" width="9.5" style="11"/>
    <col min="13060" max="13061" width="8.09765625" style="11" customWidth="1"/>
    <col min="13062" max="13070" width="6.09765625" style="11" customWidth="1"/>
    <col min="13071" max="13315" width="9.5" style="11"/>
    <col min="13316" max="13317" width="8.09765625" style="11" customWidth="1"/>
    <col min="13318" max="13326" width="6.09765625" style="11" customWidth="1"/>
    <col min="13327" max="13571" width="9.5" style="11"/>
    <col min="13572" max="13573" width="8.09765625" style="11" customWidth="1"/>
    <col min="13574" max="13582" width="6.09765625" style="11" customWidth="1"/>
    <col min="13583" max="13827" width="9.5" style="11"/>
    <col min="13828" max="13829" width="8.09765625" style="11" customWidth="1"/>
    <col min="13830" max="13838" width="6.09765625" style="11" customWidth="1"/>
    <col min="13839" max="14083" width="9.5" style="11"/>
    <col min="14084" max="14085" width="8.09765625" style="11" customWidth="1"/>
    <col min="14086" max="14094" width="6.09765625" style="11" customWidth="1"/>
    <col min="14095" max="14339" width="9.5" style="11"/>
    <col min="14340" max="14341" width="8.09765625" style="11" customWidth="1"/>
    <col min="14342" max="14350" width="6.09765625" style="11" customWidth="1"/>
    <col min="14351" max="14595" width="9.5" style="11"/>
    <col min="14596" max="14597" width="8.09765625" style="11" customWidth="1"/>
    <col min="14598" max="14606" width="6.09765625" style="11" customWidth="1"/>
    <col min="14607" max="14851" width="9.5" style="11"/>
    <col min="14852" max="14853" width="8.09765625" style="11" customWidth="1"/>
    <col min="14854" max="14862" width="6.09765625" style="11" customWidth="1"/>
    <col min="14863" max="15107" width="9.5" style="11"/>
    <col min="15108" max="15109" width="8.09765625" style="11" customWidth="1"/>
    <col min="15110" max="15118" width="6.09765625" style="11" customWidth="1"/>
    <col min="15119" max="15363" width="9.5" style="11"/>
    <col min="15364" max="15365" width="8.09765625" style="11" customWidth="1"/>
    <col min="15366" max="15374" width="6.09765625" style="11" customWidth="1"/>
    <col min="15375" max="15619" width="9.5" style="11"/>
    <col min="15620" max="15621" width="8.09765625" style="11" customWidth="1"/>
    <col min="15622" max="15630" width="6.09765625" style="11" customWidth="1"/>
    <col min="15631" max="15875" width="9.5" style="11"/>
    <col min="15876" max="15877" width="8.09765625" style="11" customWidth="1"/>
    <col min="15878" max="15886" width="6.09765625" style="11" customWidth="1"/>
    <col min="15887" max="16131" width="9.5" style="11"/>
    <col min="16132" max="16133" width="8.09765625" style="11" customWidth="1"/>
    <col min="16134" max="16142" width="6.09765625" style="11" customWidth="1"/>
    <col min="16143" max="16384" width="9.5" style="11"/>
  </cols>
  <sheetData>
    <row r="1" spans="1:14" ht="30" customHeight="1" thickBot="1">
      <c r="A1" s="1" t="s">
        <v>214</v>
      </c>
      <c r="B1" s="79"/>
    </row>
    <row r="2" spans="1:14" ht="18.75" customHeight="1">
      <c r="A2" s="2180" t="s">
        <v>49</v>
      </c>
      <c r="B2" s="2186" t="s">
        <v>215</v>
      </c>
      <c r="C2" s="2183" t="s">
        <v>216</v>
      </c>
      <c r="D2" s="2184"/>
      <c r="E2" s="2185"/>
      <c r="F2" s="2183" t="s">
        <v>217</v>
      </c>
      <c r="G2" s="2184"/>
      <c r="H2" s="2185"/>
      <c r="I2" s="2183" t="s">
        <v>218</v>
      </c>
      <c r="J2" s="2184"/>
      <c r="K2" s="2185"/>
      <c r="L2" s="2202" t="s">
        <v>219</v>
      </c>
      <c r="M2" s="2186" t="s">
        <v>220</v>
      </c>
      <c r="N2" s="2186" t="s">
        <v>221</v>
      </c>
    </row>
    <row r="3" spans="1:14" ht="18.75" customHeight="1">
      <c r="A3" s="2182"/>
      <c r="B3" s="2189"/>
      <c r="C3" s="159" t="s">
        <v>222</v>
      </c>
      <c r="D3" s="130" t="s">
        <v>223</v>
      </c>
      <c r="E3" s="130" t="s">
        <v>224</v>
      </c>
      <c r="F3" s="159" t="s">
        <v>222</v>
      </c>
      <c r="G3" s="130" t="s">
        <v>225</v>
      </c>
      <c r="H3" s="130" t="s">
        <v>226</v>
      </c>
      <c r="I3" s="159" t="s">
        <v>222</v>
      </c>
      <c r="J3" s="130" t="s">
        <v>227</v>
      </c>
      <c r="K3" s="130" t="s">
        <v>228</v>
      </c>
      <c r="L3" s="2193"/>
      <c r="M3" s="2189"/>
      <c r="N3" s="2189"/>
    </row>
    <row r="4" spans="1:14" ht="18.75" customHeight="1">
      <c r="B4" s="39" t="s">
        <v>229</v>
      </c>
      <c r="C4" s="39" t="s">
        <v>229</v>
      </c>
      <c r="D4" s="86" t="s">
        <v>229</v>
      </c>
      <c r="E4" s="86" t="s">
        <v>229</v>
      </c>
      <c r="F4" s="39" t="s">
        <v>229</v>
      </c>
      <c r="G4" s="86" t="s">
        <v>229</v>
      </c>
      <c r="H4" s="86" t="s">
        <v>229</v>
      </c>
      <c r="I4" s="39" t="s">
        <v>229</v>
      </c>
      <c r="J4" s="86" t="s">
        <v>229</v>
      </c>
      <c r="K4" s="86" t="s">
        <v>229</v>
      </c>
      <c r="L4" s="86" t="s">
        <v>230</v>
      </c>
      <c r="M4" s="39" t="s">
        <v>230</v>
      </c>
      <c r="N4" s="39" t="s">
        <v>230</v>
      </c>
    </row>
    <row r="5" spans="1:14" ht="18.75" customHeight="1">
      <c r="A5" s="79" t="s">
        <v>231</v>
      </c>
      <c r="B5" s="160">
        <v>-452</v>
      </c>
      <c r="C5" s="160">
        <v>-183</v>
      </c>
      <c r="D5" s="161">
        <v>169</v>
      </c>
      <c r="E5" s="161">
        <v>352</v>
      </c>
      <c r="F5" s="160">
        <v>-268</v>
      </c>
      <c r="G5" s="161">
        <v>777</v>
      </c>
      <c r="H5" s="161">
        <v>1045</v>
      </c>
      <c r="I5" s="160">
        <v>-1</v>
      </c>
      <c r="J5" s="161">
        <v>15</v>
      </c>
      <c r="K5" s="161">
        <v>16</v>
      </c>
      <c r="L5" s="161">
        <v>98</v>
      </c>
      <c r="M5" s="160">
        <v>30</v>
      </c>
      <c r="N5" s="160">
        <v>7</v>
      </c>
    </row>
    <row r="6" spans="1:14" ht="18.75" customHeight="1">
      <c r="A6" s="162">
        <v>25</v>
      </c>
      <c r="B6" s="160">
        <v>-394</v>
      </c>
      <c r="C6" s="160">
        <v>-241</v>
      </c>
      <c r="D6" s="161">
        <v>150</v>
      </c>
      <c r="E6" s="161">
        <v>391</v>
      </c>
      <c r="F6" s="160">
        <v>-122</v>
      </c>
      <c r="G6" s="161">
        <v>866</v>
      </c>
      <c r="H6" s="161">
        <v>988</v>
      </c>
      <c r="I6" s="160">
        <v>-31</v>
      </c>
      <c r="J6" s="161">
        <v>7</v>
      </c>
      <c r="K6" s="161">
        <v>38</v>
      </c>
      <c r="L6" s="161">
        <v>103</v>
      </c>
      <c r="M6" s="160">
        <v>41</v>
      </c>
      <c r="N6" s="160">
        <v>7</v>
      </c>
    </row>
    <row r="7" spans="1:14" ht="18.75" customHeight="1">
      <c r="A7" s="162">
        <v>26</v>
      </c>
      <c r="B7" s="160">
        <v>-300</v>
      </c>
      <c r="C7" s="160">
        <v>-198</v>
      </c>
      <c r="D7" s="161">
        <v>172</v>
      </c>
      <c r="E7" s="161">
        <v>370</v>
      </c>
      <c r="F7" s="160">
        <v>-99</v>
      </c>
      <c r="G7" s="161">
        <v>878</v>
      </c>
      <c r="H7" s="161">
        <v>977</v>
      </c>
      <c r="I7" s="160">
        <v>-3</v>
      </c>
      <c r="J7" s="161">
        <v>17</v>
      </c>
      <c r="K7" s="161">
        <v>20</v>
      </c>
      <c r="L7" s="161">
        <v>86</v>
      </c>
      <c r="M7" s="160">
        <v>47</v>
      </c>
      <c r="N7" s="160">
        <v>2</v>
      </c>
    </row>
    <row r="8" spans="1:14" ht="18.75" customHeight="1">
      <c r="A8" s="162">
        <v>27</v>
      </c>
      <c r="B8" s="160">
        <v>-338</v>
      </c>
      <c r="C8" s="160">
        <v>-209</v>
      </c>
      <c r="D8" s="161">
        <v>173</v>
      </c>
      <c r="E8" s="161">
        <v>382</v>
      </c>
      <c r="F8" s="160">
        <v>-129</v>
      </c>
      <c r="G8" s="161">
        <v>891</v>
      </c>
      <c r="H8" s="161">
        <v>1020</v>
      </c>
      <c r="I8" s="160">
        <v>0</v>
      </c>
      <c r="J8" s="161">
        <v>12</v>
      </c>
      <c r="K8" s="161">
        <v>12</v>
      </c>
      <c r="L8" s="161">
        <v>90</v>
      </c>
      <c r="M8" s="160">
        <v>43</v>
      </c>
      <c r="N8" s="160">
        <v>6</v>
      </c>
    </row>
    <row r="9" spans="1:14" ht="18.75" customHeight="1">
      <c r="A9" s="163">
        <v>28</v>
      </c>
      <c r="B9" s="164">
        <v>-427</v>
      </c>
      <c r="C9" s="164">
        <v>-228</v>
      </c>
      <c r="D9" s="165">
        <v>141</v>
      </c>
      <c r="E9" s="165">
        <v>369</v>
      </c>
      <c r="F9" s="164">
        <v>-198</v>
      </c>
      <c r="G9" s="165">
        <v>861</v>
      </c>
      <c r="H9" s="165">
        <v>1059</v>
      </c>
      <c r="I9" s="164">
        <v>-1</v>
      </c>
      <c r="J9" s="165">
        <v>7</v>
      </c>
      <c r="K9" s="165">
        <v>8</v>
      </c>
      <c r="L9" s="165">
        <v>82</v>
      </c>
      <c r="M9" s="164">
        <v>41</v>
      </c>
      <c r="N9" s="164">
        <v>7</v>
      </c>
    </row>
    <row r="10" spans="1:14" ht="18.75" customHeight="1">
      <c r="A10" s="163">
        <v>29</v>
      </c>
      <c r="B10" s="164">
        <v>-431</v>
      </c>
      <c r="C10" s="164">
        <v>-289</v>
      </c>
      <c r="D10" s="165">
        <v>139</v>
      </c>
      <c r="E10" s="165">
        <v>428</v>
      </c>
      <c r="F10" s="164">
        <v>-142</v>
      </c>
      <c r="G10" s="165">
        <v>900</v>
      </c>
      <c r="H10" s="165">
        <v>1042</v>
      </c>
      <c r="I10" s="164">
        <v>0</v>
      </c>
      <c r="J10" s="165">
        <v>10</v>
      </c>
      <c r="K10" s="165">
        <v>10</v>
      </c>
      <c r="L10" s="165">
        <v>96</v>
      </c>
      <c r="M10" s="164">
        <v>44</v>
      </c>
      <c r="N10" s="164">
        <v>5</v>
      </c>
    </row>
    <row r="11" spans="1:14" ht="18.75" customHeight="1">
      <c r="A11" s="163">
        <v>30</v>
      </c>
      <c r="B11" s="164" t="s">
        <v>232</v>
      </c>
      <c r="C11" s="164" t="s">
        <v>233</v>
      </c>
      <c r="D11" s="165">
        <v>142</v>
      </c>
      <c r="E11" s="165">
        <v>349</v>
      </c>
      <c r="F11" s="164" t="s">
        <v>234</v>
      </c>
      <c r="G11" s="165">
        <v>858</v>
      </c>
      <c r="H11" s="165">
        <v>1023</v>
      </c>
      <c r="I11" s="164">
        <v>0</v>
      </c>
      <c r="J11" s="165">
        <v>8</v>
      </c>
      <c r="K11" s="165">
        <v>8</v>
      </c>
      <c r="L11" s="165">
        <v>91</v>
      </c>
      <c r="M11" s="164">
        <v>52</v>
      </c>
      <c r="N11" s="164">
        <v>4</v>
      </c>
    </row>
    <row r="12" spans="1:14" ht="18.75" customHeight="1">
      <c r="A12" s="163" t="s">
        <v>235</v>
      </c>
      <c r="B12" s="164" t="s">
        <v>236</v>
      </c>
      <c r="C12" s="164" t="s">
        <v>237</v>
      </c>
      <c r="D12" s="165">
        <v>149</v>
      </c>
      <c r="E12" s="165">
        <v>400</v>
      </c>
      <c r="F12" s="164" t="s">
        <v>238</v>
      </c>
      <c r="G12" s="165">
        <v>864</v>
      </c>
      <c r="H12" s="165">
        <v>1040</v>
      </c>
      <c r="I12" s="164">
        <v>0</v>
      </c>
      <c r="J12" s="165">
        <v>8</v>
      </c>
      <c r="K12" s="165">
        <v>8</v>
      </c>
      <c r="L12" s="165">
        <v>95</v>
      </c>
      <c r="M12" s="164">
        <v>41</v>
      </c>
      <c r="N12" s="164">
        <v>3</v>
      </c>
    </row>
    <row r="13" spans="1:14" ht="18.75" customHeight="1">
      <c r="A13" s="163">
        <v>2</v>
      </c>
      <c r="B13" s="164" t="s">
        <v>239</v>
      </c>
      <c r="C13" s="164" t="s">
        <v>240</v>
      </c>
      <c r="D13" s="165">
        <v>141</v>
      </c>
      <c r="E13" s="165">
        <v>362</v>
      </c>
      <c r="F13" s="164" t="s">
        <v>241</v>
      </c>
      <c r="G13" s="165">
        <v>829</v>
      </c>
      <c r="H13" s="165">
        <v>968</v>
      </c>
      <c r="I13" s="165" t="s">
        <v>242</v>
      </c>
      <c r="J13" s="165">
        <v>7</v>
      </c>
      <c r="K13" s="165">
        <v>18</v>
      </c>
      <c r="L13" s="165">
        <v>78</v>
      </c>
      <c r="M13" s="164">
        <v>41</v>
      </c>
      <c r="N13" s="164">
        <v>4</v>
      </c>
    </row>
    <row r="14" spans="1:14" ht="18.75" customHeight="1">
      <c r="A14" s="163">
        <v>3</v>
      </c>
      <c r="B14" s="164" t="s">
        <v>243</v>
      </c>
      <c r="C14" s="164" t="s">
        <v>244</v>
      </c>
      <c r="D14" s="165">
        <v>123</v>
      </c>
      <c r="E14" s="165">
        <v>380</v>
      </c>
      <c r="F14" s="164" t="s">
        <v>245</v>
      </c>
      <c r="G14" s="165">
        <v>792</v>
      </c>
      <c r="H14" s="165">
        <v>983</v>
      </c>
      <c r="I14" s="165">
        <v>0</v>
      </c>
      <c r="J14" s="165">
        <v>3</v>
      </c>
      <c r="K14" s="165">
        <v>3</v>
      </c>
      <c r="L14" s="165">
        <v>71</v>
      </c>
      <c r="M14" s="164">
        <v>26</v>
      </c>
      <c r="N14" s="164">
        <v>4</v>
      </c>
    </row>
    <row r="15" spans="1:14" ht="18.75" customHeight="1">
      <c r="A15" s="163">
        <v>4</v>
      </c>
      <c r="B15" s="164" t="s">
        <v>246</v>
      </c>
      <c r="C15" s="164" t="s">
        <v>247</v>
      </c>
      <c r="D15" s="165">
        <v>112</v>
      </c>
      <c r="E15" s="165">
        <v>423</v>
      </c>
      <c r="F15" s="164" t="s">
        <v>248</v>
      </c>
      <c r="G15" s="165">
        <v>996</v>
      </c>
      <c r="H15" s="165">
        <v>1019</v>
      </c>
      <c r="I15" s="165" t="s">
        <v>249</v>
      </c>
      <c r="J15" s="165">
        <v>0</v>
      </c>
      <c r="K15" s="165">
        <v>4</v>
      </c>
      <c r="L15" s="165">
        <v>79</v>
      </c>
      <c r="M15" s="164">
        <v>39</v>
      </c>
      <c r="N15" s="164">
        <v>2</v>
      </c>
    </row>
    <row r="16" spans="1:14" ht="18.75" customHeight="1">
      <c r="A16" s="162">
        <v>5</v>
      </c>
      <c r="B16" s="164" t="s">
        <v>250</v>
      </c>
      <c r="C16" s="164" t="s">
        <v>251</v>
      </c>
      <c r="D16" s="165">
        <v>102</v>
      </c>
      <c r="E16" s="165">
        <v>422</v>
      </c>
      <c r="F16" s="164" t="s">
        <v>252</v>
      </c>
      <c r="G16" s="165">
        <v>929</v>
      </c>
      <c r="H16" s="165">
        <v>1013</v>
      </c>
      <c r="I16" s="165" t="s">
        <v>253</v>
      </c>
      <c r="J16" s="165">
        <v>4</v>
      </c>
      <c r="K16" s="165">
        <v>6</v>
      </c>
      <c r="L16" s="165">
        <v>57</v>
      </c>
      <c r="M16" s="164">
        <v>23</v>
      </c>
      <c r="N16" s="164">
        <v>3</v>
      </c>
    </row>
    <row r="17" spans="1:14" s="171" customFormat="1" ht="18.75" customHeight="1" thickBot="1">
      <c r="A17" s="168"/>
      <c r="B17" s="169"/>
      <c r="C17" s="169"/>
      <c r="D17" s="170"/>
      <c r="E17" s="170"/>
      <c r="F17" s="169"/>
      <c r="G17" s="170"/>
      <c r="H17" s="170"/>
      <c r="I17" s="170"/>
      <c r="J17" s="170"/>
      <c r="K17" s="170"/>
      <c r="L17" s="170"/>
      <c r="M17" s="169"/>
      <c r="N17" s="169"/>
    </row>
    <row r="18" spans="1:14" ht="18.75" customHeight="1">
      <c r="A18" s="93" t="s">
        <v>254</v>
      </c>
      <c r="B18" s="93"/>
      <c r="C18" s="93"/>
      <c r="D18" s="93"/>
      <c r="E18" s="93" t="s">
        <v>255</v>
      </c>
      <c r="F18" s="93"/>
      <c r="G18" s="93"/>
      <c r="H18" s="93"/>
    </row>
    <row r="19" spans="1:14" ht="18.75" customHeight="1">
      <c r="D19" s="11" t="s">
        <v>256</v>
      </c>
      <c r="E19" s="11" t="s">
        <v>257</v>
      </c>
      <c r="M19" s="166"/>
      <c r="N19" s="166"/>
    </row>
    <row r="20" spans="1:14" ht="18.75" customHeight="1">
      <c r="M20" s="167"/>
      <c r="N20" s="167"/>
    </row>
  </sheetData>
  <mergeCells count="8">
    <mergeCell ref="M2:M3"/>
    <mergeCell ref="N2:N3"/>
    <mergeCell ref="A2:A3"/>
    <mergeCell ref="B2:B3"/>
    <mergeCell ref="C2:E2"/>
    <mergeCell ref="F2:H2"/>
    <mergeCell ref="I2:K2"/>
    <mergeCell ref="L2:L3"/>
  </mergeCells>
  <phoneticPr fontId="4"/>
  <printOptions horizontalCentered="1"/>
  <pageMargins left="0.74803149606299213" right="0.74803149606299213" top="0.98425196850393704" bottom="0.98425196850393704" header="0.51181102362204722" footer="0.51181102362204722"/>
  <pageSetup paperSize="9" scale="88" fitToHeight="0" orientation="portrait" r:id="rId1"/>
  <headerFooter alignWithMargins="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22B7-4AD8-4600-B704-B2809D602123}">
  <sheetPr codeName="Sheet87"/>
  <dimension ref="A1:A4"/>
  <sheetViews>
    <sheetView workbookViewId="0"/>
  </sheetViews>
  <sheetFormatPr defaultRowHeight="18"/>
  <cols>
    <col min="1" max="1" width="73.19921875" customWidth="1"/>
  </cols>
  <sheetData>
    <row r="1" spans="1:1" ht="30" customHeight="1" thickBot="1">
      <c r="A1" s="342" t="s">
        <v>2322</v>
      </c>
    </row>
    <row r="2" spans="1:1" ht="345" customHeight="1" thickBot="1">
      <c r="A2" s="2146" t="s">
        <v>2324</v>
      </c>
    </row>
    <row r="3" spans="1:1">
      <c r="A3" s="1095">
        <v>37330</v>
      </c>
    </row>
    <row r="4" spans="1:1">
      <c r="A4" s="1096" t="s">
        <v>2323</v>
      </c>
    </row>
  </sheetData>
  <phoneticPr fontId="4"/>
  <printOptions horizontalCentered="1"/>
  <pageMargins left="0.78740157480314965" right="0.78740157480314965" top="0.98425196850393704" bottom="0.9842519685039370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E89A1-E18E-4AEA-A7F2-E07D5890D96D}">
  <sheetPr codeName="Sheet16"/>
  <dimension ref="A1:J42"/>
  <sheetViews>
    <sheetView workbookViewId="0">
      <selection activeCell="B30" sqref="B30"/>
    </sheetView>
  </sheetViews>
  <sheetFormatPr defaultColWidth="9" defaultRowHeight="16.5" customHeight="1"/>
  <cols>
    <col min="1" max="5" width="15.59765625" style="82" customWidth="1"/>
    <col min="6" max="10" width="8.59765625" style="82" customWidth="1"/>
    <col min="11" max="16384" width="9" style="82"/>
  </cols>
  <sheetData>
    <row r="1" spans="1:5" ht="30" customHeight="1" thickBot="1">
      <c r="A1" s="2139" t="s">
        <v>258</v>
      </c>
      <c r="B1" s="2139"/>
      <c r="C1" s="2139"/>
    </row>
    <row r="2" spans="1:5" s="11" customFormat="1" ht="16.5" customHeight="1">
      <c r="A2" s="2218" t="s">
        <v>259</v>
      </c>
      <c r="B2" s="2186" t="s">
        <v>260</v>
      </c>
      <c r="C2" s="2180"/>
      <c r="D2" s="2220" t="s">
        <v>261</v>
      </c>
      <c r="E2" s="2221"/>
    </row>
    <row r="3" spans="1:5" s="11" customFormat="1" ht="16.5" customHeight="1">
      <c r="A3" s="2219"/>
      <c r="B3" s="130" t="s">
        <v>262</v>
      </c>
      <c r="C3" s="130" t="s">
        <v>263</v>
      </c>
      <c r="D3" s="172" t="s">
        <v>262</v>
      </c>
      <c r="E3" s="173" t="s">
        <v>263</v>
      </c>
    </row>
    <row r="4" spans="1:5" s="11" customFormat="1" ht="16.5" customHeight="1">
      <c r="A4" s="174"/>
      <c r="B4" s="33" t="s">
        <v>167</v>
      </c>
      <c r="C4" s="34" t="s">
        <v>264</v>
      </c>
      <c r="D4" s="175" t="s">
        <v>167</v>
      </c>
      <c r="E4" s="176" t="s">
        <v>264</v>
      </c>
    </row>
    <row r="5" spans="1:5" s="181" customFormat="1" ht="16.5" customHeight="1">
      <c r="A5" s="177" t="s">
        <v>265</v>
      </c>
      <c r="B5" s="79">
        <v>590</v>
      </c>
      <c r="C5" s="178">
        <v>18.3</v>
      </c>
      <c r="D5" s="179">
        <v>30772</v>
      </c>
      <c r="E5" s="180">
        <v>15.5</v>
      </c>
    </row>
    <row r="6" spans="1:5" s="181" customFormat="1" ht="16.5" customHeight="1">
      <c r="A6" s="177">
        <v>40</v>
      </c>
      <c r="B6" s="79">
        <v>576</v>
      </c>
      <c r="C6" s="178">
        <v>18</v>
      </c>
      <c r="D6" s="182">
        <v>31532</v>
      </c>
      <c r="E6" s="180">
        <v>16.100000000000001</v>
      </c>
    </row>
    <row r="7" spans="1:5" s="181" customFormat="1" ht="16.5" customHeight="1">
      <c r="A7" s="177">
        <v>45</v>
      </c>
      <c r="B7" s="79">
        <v>498</v>
      </c>
      <c r="C7" s="178">
        <v>15.6</v>
      </c>
      <c r="D7" s="182">
        <v>31390</v>
      </c>
      <c r="E7" s="180">
        <v>16</v>
      </c>
    </row>
    <row r="8" spans="1:5" s="181" customFormat="1" ht="16.5" customHeight="1">
      <c r="A8" s="177">
        <v>50</v>
      </c>
      <c r="B8" s="79">
        <v>574</v>
      </c>
      <c r="C8" s="178">
        <v>17</v>
      </c>
      <c r="D8" s="182">
        <v>31712</v>
      </c>
      <c r="E8" s="180">
        <v>15.7</v>
      </c>
    </row>
    <row r="9" spans="1:5" s="181" customFormat="1" ht="16.5" customHeight="1">
      <c r="A9" s="177">
        <v>55</v>
      </c>
      <c r="B9" s="79">
        <v>373</v>
      </c>
      <c r="C9" s="178">
        <v>11.3</v>
      </c>
      <c r="D9" s="182">
        <v>27187</v>
      </c>
      <c r="E9" s="180">
        <v>13</v>
      </c>
    </row>
    <row r="10" spans="1:5" s="11" customFormat="1" ht="16.5" customHeight="1">
      <c r="A10" s="177">
        <v>60</v>
      </c>
      <c r="B10" s="79">
        <v>276</v>
      </c>
      <c r="C10" s="178">
        <v>8.5</v>
      </c>
      <c r="D10" s="179">
        <v>24176</v>
      </c>
      <c r="E10" s="180">
        <v>11.3</v>
      </c>
    </row>
    <row r="11" spans="1:5" s="11" customFormat="1" ht="16.5" customHeight="1">
      <c r="A11" s="177" t="s">
        <v>169</v>
      </c>
      <c r="B11" s="79">
        <v>268</v>
      </c>
      <c r="C11" s="178">
        <v>8.5</v>
      </c>
      <c r="D11" s="182">
        <v>21898</v>
      </c>
      <c r="E11" s="180">
        <v>10.1</v>
      </c>
    </row>
    <row r="12" spans="1:5" s="11" customFormat="1" ht="16.5" customHeight="1">
      <c r="A12" s="177">
        <v>7</v>
      </c>
      <c r="B12" s="79">
        <v>281</v>
      </c>
      <c r="C12" s="178">
        <v>9.1</v>
      </c>
      <c r="D12" s="182">
        <v>21187</v>
      </c>
      <c r="E12" s="180">
        <v>9.6999999999999993</v>
      </c>
    </row>
    <row r="13" spans="1:5" s="11" customFormat="1" ht="16.5" customHeight="1">
      <c r="A13" s="177">
        <v>12</v>
      </c>
      <c r="B13" s="79">
        <v>282</v>
      </c>
      <c r="C13" s="178">
        <v>9.1</v>
      </c>
      <c r="D13" s="182">
        <v>21194</v>
      </c>
      <c r="E13" s="180">
        <v>9.6999999999999993</v>
      </c>
    </row>
    <row r="14" spans="1:5" s="11" customFormat="1" ht="16.5" customHeight="1">
      <c r="A14" s="177">
        <v>13</v>
      </c>
      <c r="B14" s="79">
        <v>259</v>
      </c>
      <c r="C14" s="178">
        <v>8.4</v>
      </c>
      <c r="D14" s="182">
        <v>20889</v>
      </c>
      <c r="E14" s="180">
        <v>9.6</v>
      </c>
    </row>
    <row r="15" spans="1:5" s="11" customFormat="1" ht="16.5" customHeight="1">
      <c r="A15" s="177">
        <v>14</v>
      </c>
      <c r="B15" s="79">
        <v>263</v>
      </c>
      <c r="C15" s="178">
        <v>8.6</v>
      </c>
      <c r="D15" s="182">
        <v>20324</v>
      </c>
      <c r="E15" s="180">
        <v>9.3000000000000007</v>
      </c>
    </row>
    <row r="16" spans="1:5" s="11" customFormat="1" ht="16.5" customHeight="1">
      <c r="A16" s="177">
        <v>15</v>
      </c>
      <c r="B16" s="79">
        <v>250</v>
      </c>
      <c r="C16" s="178">
        <v>8.1999999999999993</v>
      </c>
      <c r="D16" s="182">
        <v>19735</v>
      </c>
      <c r="E16" s="180">
        <v>9.1</v>
      </c>
    </row>
    <row r="17" spans="1:10" s="11" customFormat="1" ht="16.5" customHeight="1">
      <c r="A17" s="177">
        <v>16</v>
      </c>
      <c r="B17" s="79">
        <v>236</v>
      </c>
      <c r="C17" s="178">
        <v>7.8</v>
      </c>
      <c r="D17" s="182">
        <v>19323</v>
      </c>
      <c r="E17" s="180">
        <v>8.9</v>
      </c>
      <c r="F17" s="79"/>
      <c r="G17" s="79"/>
      <c r="H17" s="183"/>
      <c r="I17" s="184"/>
      <c r="J17" s="185"/>
    </row>
    <row r="18" spans="1:10" s="11" customFormat="1" ht="16.5" customHeight="1">
      <c r="A18" s="177">
        <v>17</v>
      </c>
      <c r="B18" s="37">
        <v>209</v>
      </c>
      <c r="C18" s="186">
        <v>7</v>
      </c>
      <c r="D18" s="182">
        <v>18517</v>
      </c>
      <c r="E18" s="180">
        <v>8.6</v>
      </c>
      <c r="F18" s="79"/>
      <c r="G18" s="79"/>
      <c r="H18" s="183"/>
      <c r="I18" s="184"/>
      <c r="J18" s="185"/>
    </row>
    <row r="19" spans="1:10" s="11" customFormat="1" ht="16.5" customHeight="1">
      <c r="A19" s="177">
        <v>18</v>
      </c>
      <c r="B19" s="37">
        <v>213</v>
      </c>
      <c r="C19" s="186">
        <v>6.7</v>
      </c>
      <c r="D19" s="182">
        <v>18775</v>
      </c>
      <c r="E19" s="180">
        <v>8.6999999999999993</v>
      </c>
      <c r="F19" s="79"/>
      <c r="G19" s="79"/>
      <c r="H19" s="183"/>
      <c r="I19" s="184"/>
      <c r="J19" s="185"/>
    </row>
    <row r="20" spans="1:10" s="11" customFormat="1" ht="16.5" customHeight="1">
      <c r="A20" s="177">
        <v>19</v>
      </c>
      <c r="B20" s="37">
        <v>219</v>
      </c>
      <c r="C20" s="186">
        <v>7</v>
      </c>
      <c r="D20" s="182">
        <v>18618</v>
      </c>
      <c r="E20" s="180">
        <v>8.6999999999999993</v>
      </c>
      <c r="F20" s="79"/>
      <c r="G20" s="79"/>
      <c r="H20" s="183"/>
      <c r="I20" s="184"/>
      <c r="J20" s="185"/>
    </row>
    <row r="21" spans="1:10" s="11" customFormat="1" ht="16.5" customHeight="1">
      <c r="A21" s="177">
        <v>20</v>
      </c>
      <c r="B21" s="37">
        <v>208</v>
      </c>
      <c r="C21" s="186">
        <v>6.7</v>
      </c>
      <c r="D21" s="182">
        <v>18129</v>
      </c>
      <c r="E21" s="180">
        <v>8.5</v>
      </c>
      <c r="F21" s="79"/>
      <c r="G21" s="79"/>
      <c r="H21" s="183"/>
      <c r="I21" s="184"/>
      <c r="J21" s="185"/>
    </row>
    <row r="22" spans="1:10" s="11" customFormat="1" ht="16.5" customHeight="1">
      <c r="A22" s="177">
        <v>21</v>
      </c>
      <c r="B22" s="37">
        <v>189</v>
      </c>
      <c r="C22" s="186">
        <v>6.2</v>
      </c>
      <c r="D22" s="182">
        <v>17310</v>
      </c>
      <c r="E22" s="180">
        <v>8.1</v>
      </c>
      <c r="F22" s="79"/>
      <c r="G22" s="79"/>
      <c r="H22" s="183"/>
      <c r="I22" s="184"/>
      <c r="J22" s="185"/>
    </row>
    <row r="23" spans="1:10" s="11" customFormat="1" ht="16.5" customHeight="1">
      <c r="A23" s="177">
        <v>22</v>
      </c>
      <c r="B23" s="37">
        <v>158</v>
      </c>
      <c r="C23" s="186">
        <f>B23/29801*1000</f>
        <v>5.3018355088755413</v>
      </c>
      <c r="D23" s="182">
        <v>17233</v>
      </c>
      <c r="E23" s="180">
        <v>8.1</v>
      </c>
      <c r="F23" s="79"/>
      <c r="G23" s="79"/>
      <c r="H23" s="183"/>
      <c r="I23" s="184"/>
      <c r="J23" s="185"/>
    </row>
    <row r="24" spans="1:10" s="11" customFormat="1" ht="16.5" customHeight="1">
      <c r="A24" s="177">
        <v>23</v>
      </c>
      <c r="B24" s="37">
        <v>194</v>
      </c>
      <c r="C24" s="186">
        <f>B24/29520*1000</f>
        <v>6.5718157181571808</v>
      </c>
      <c r="D24" s="182">
        <v>16917</v>
      </c>
      <c r="E24" s="180">
        <v>8</v>
      </c>
      <c r="F24" s="79"/>
      <c r="G24" s="79"/>
      <c r="H24" s="183"/>
      <c r="I24" s="184"/>
      <c r="J24" s="185"/>
    </row>
    <row r="25" spans="1:10" s="11" customFormat="1" ht="16.5" customHeight="1">
      <c r="A25" s="177">
        <v>24</v>
      </c>
      <c r="B25" s="37">
        <v>169</v>
      </c>
      <c r="C25" s="186">
        <f>B25/29087*1000</f>
        <v>5.8101557396775192</v>
      </c>
      <c r="D25" s="182">
        <v>16661</v>
      </c>
      <c r="E25" s="180">
        <v>7.9</v>
      </c>
      <c r="F25" s="79"/>
      <c r="G25" s="79"/>
      <c r="H25" s="183"/>
      <c r="I25" s="184"/>
      <c r="J25" s="185"/>
    </row>
    <row r="26" spans="1:10" s="11" customFormat="1" ht="16.5" customHeight="1">
      <c r="A26" s="177">
        <v>25</v>
      </c>
      <c r="B26" s="37">
        <v>150</v>
      </c>
      <c r="C26" s="186">
        <f>B26/28672*1000</f>
        <v>5.2315848214285712</v>
      </c>
      <c r="D26" s="182">
        <v>16326</v>
      </c>
      <c r="E26" s="180">
        <v>7.8</v>
      </c>
      <c r="F26" s="79"/>
      <c r="G26" s="79"/>
      <c r="H26" s="183"/>
      <c r="I26" s="184"/>
      <c r="J26" s="185"/>
    </row>
    <row r="27" spans="1:10" s="11" customFormat="1" ht="16.5" customHeight="1">
      <c r="A27" s="177">
        <v>26</v>
      </c>
      <c r="B27" s="37">
        <v>172</v>
      </c>
      <c r="C27" s="186">
        <v>6.0576178065788548</v>
      </c>
      <c r="D27" s="182">
        <v>15848</v>
      </c>
      <c r="E27" s="180">
        <v>7.6</v>
      </c>
      <c r="F27" s="79"/>
      <c r="G27" s="79"/>
      <c r="H27" s="183"/>
      <c r="I27" s="184"/>
      <c r="J27" s="185"/>
    </row>
    <row r="28" spans="1:10" s="11" customFormat="1" ht="16.5" customHeight="1">
      <c r="A28" s="177">
        <v>27</v>
      </c>
      <c r="B28" s="37">
        <v>173</v>
      </c>
      <c r="C28" s="186">
        <v>5.8804566210000004</v>
      </c>
      <c r="D28" s="182">
        <v>15546</v>
      </c>
      <c r="E28" s="180">
        <v>7.4</v>
      </c>
      <c r="F28" s="79"/>
      <c r="G28" s="79"/>
      <c r="H28" s="183"/>
      <c r="I28" s="184"/>
      <c r="J28" s="185"/>
    </row>
    <row r="29" spans="1:10" s="11" customFormat="1" ht="16.5" customHeight="1">
      <c r="A29" s="177">
        <v>28</v>
      </c>
      <c r="B29" s="37">
        <v>141</v>
      </c>
      <c r="C29" s="186">
        <f>+B29/28517*1000</f>
        <v>4.9444191184205915</v>
      </c>
      <c r="D29" s="182">
        <v>15114</v>
      </c>
      <c r="E29" s="180">
        <v>7.2</v>
      </c>
      <c r="F29" s="79"/>
      <c r="G29" s="79"/>
      <c r="H29" s="183"/>
      <c r="I29" s="184"/>
      <c r="J29" s="185"/>
    </row>
    <row r="30" spans="1:10" s="11" customFormat="1" ht="16.5" customHeight="1">
      <c r="A30" s="177">
        <v>29</v>
      </c>
      <c r="B30" s="37">
        <v>136</v>
      </c>
      <c r="C30" s="186">
        <v>5</v>
      </c>
      <c r="D30" s="182">
        <v>14519</v>
      </c>
      <c r="E30" s="180">
        <v>7.1</v>
      </c>
      <c r="F30" s="79"/>
      <c r="G30" s="79"/>
      <c r="H30" s="183"/>
      <c r="I30" s="184"/>
      <c r="J30" s="185"/>
    </row>
    <row r="31" spans="1:10" s="11" customFormat="1" ht="16.5" customHeight="1">
      <c r="A31" s="177">
        <v>30</v>
      </c>
      <c r="B31" s="37">
        <v>142</v>
      </c>
      <c r="C31" s="186">
        <v>5.1191463282742715</v>
      </c>
      <c r="D31" s="182">
        <v>14184</v>
      </c>
      <c r="E31" s="180">
        <v>7</v>
      </c>
      <c r="F31" s="79"/>
      <c r="G31" s="79"/>
      <c r="H31" s="183"/>
      <c r="I31" s="184"/>
      <c r="J31" s="185"/>
    </row>
    <row r="32" spans="1:10" s="11" customFormat="1" ht="16.5" customHeight="1">
      <c r="A32" s="177" t="s">
        <v>79</v>
      </c>
      <c r="B32" s="37">
        <v>149</v>
      </c>
      <c r="C32" s="186">
        <v>5.7</v>
      </c>
      <c r="D32" s="182">
        <v>13553</v>
      </c>
      <c r="E32" s="180">
        <v>6.7</v>
      </c>
      <c r="F32" s="79"/>
      <c r="G32" s="79"/>
      <c r="H32" s="183"/>
      <c r="I32" s="184"/>
      <c r="J32" s="185"/>
    </row>
    <row r="33" spans="1:10" s="11" customFormat="1" ht="16.5" customHeight="1">
      <c r="A33" s="177">
        <v>2</v>
      </c>
      <c r="B33" s="37">
        <v>141</v>
      </c>
      <c r="C33" s="186">
        <v>5.4</v>
      </c>
      <c r="D33" s="182">
        <v>12864</v>
      </c>
      <c r="E33" s="180">
        <v>6.4</v>
      </c>
      <c r="F33" s="79"/>
      <c r="G33" s="79"/>
      <c r="H33" s="183"/>
      <c r="I33" s="184"/>
      <c r="J33" s="185"/>
    </row>
    <row r="34" spans="1:10" s="11" customFormat="1" ht="16.5" customHeight="1">
      <c r="A34" s="177">
        <v>3</v>
      </c>
      <c r="B34" s="37">
        <v>122</v>
      </c>
      <c r="C34" s="186">
        <v>4.8</v>
      </c>
      <c r="D34" s="182">
        <v>12514</v>
      </c>
      <c r="E34" s="180">
        <v>6.3</v>
      </c>
      <c r="F34" s="79"/>
      <c r="G34" s="79"/>
      <c r="H34" s="183"/>
      <c r="I34" s="184"/>
      <c r="J34" s="185"/>
    </row>
    <row r="35" spans="1:10" s="11" customFormat="1" ht="16.5" customHeight="1">
      <c r="A35" s="177"/>
      <c r="B35" s="478"/>
      <c r="C35" s="2060"/>
      <c r="D35" s="2061"/>
      <c r="E35" s="2062"/>
      <c r="F35" s="485"/>
      <c r="G35" s="79"/>
      <c r="H35" s="183"/>
      <c r="I35" s="184"/>
      <c r="J35" s="185"/>
    </row>
    <row r="36" spans="1:10" s="11" customFormat="1" ht="16.5" customHeight="1">
      <c r="A36" s="177"/>
      <c r="B36" s="478"/>
      <c r="C36" s="2060"/>
      <c r="D36" s="2061"/>
      <c r="E36" s="2062"/>
      <c r="F36" s="485"/>
      <c r="G36" s="79"/>
      <c r="H36" s="183"/>
      <c r="I36" s="184"/>
      <c r="J36" s="185"/>
    </row>
    <row r="37" spans="1:10" s="11" customFormat="1" ht="16.5" customHeight="1" thickBot="1">
      <c r="A37" s="1140"/>
      <c r="B37" s="498"/>
      <c r="C37" s="1141"/>
      <c r="D37" s="1142"/>
      <c r="E37" s="1143"/>
      <c r="F37" s="79"/>
      <c r="G37" s="79"/>
      <c r="H37" s="183"/>
      <c r="I37" s="184"/>
      <c r="J37" s="185"/>
    </row>
    <row r="38" spans="1:10" s="11" customFormat="1" ht="16.5" customHeight="1">
      <c r="A38" s="134" t="s">
        <v>270</v>
      </c>
    </row>
    <row r="39" spans="1:10" s="11" customFormat="1" ht="16.5" customHeight="1">
      <c r="A39" s="187" t="s">
        <v>266</v>
      </c>
      <c r="B39" s="187"/>
      <c r="C39" s="187"/>
      <c r="D39" s="187"/>
      <c r="E39" s="187"/>
      <c r="F39" s="187"/>
    </row>
    <row r="40" spans="1:10" s="11" customFormat="1" ht="16.5" customHeight="1">
      <c r="A40" s="2217" t="s">
        <v>267</v>
      </c>
      <c r="B40" s="2217"/>
      <c r="C40" s="2217"/>
      <c r="D40" s="2217"/>
      <c r="E40" s="2217"/>
      <c r="F40" s="187"/>
      <c r="G40" s="187"/>
      <c r="H40" s="187"/>
      <c r="I40" s="187"/>
      <c r="J40" s="187"/>
    </row>
    <row r="41" spans="1:10" s="11" customFormat="1" ht="16.5" customHeight="1">
      <c r="A41" s="187" t="s">
        <v>268</v>
      </c>
      <c r="B41" s="187"/>
      <c r="C41" s="187"/>
    </row>
    <row r="42" spans="1:10" ht="16.5" customHeight="1">
      <c r="A42" s="2217" t="s">
        <v>269</v>
      </c>
      <c r="B42" s="2217"/>
      <c r="C42" s="2217"/>
      <c r="D42" s="2217"/>
      <c r="E42" s="2217"/>
      <c r="F42" s="187"/>
      <c r="G42" s="187"/>
      <c r="H42" s="187"/>
      <c r="I42" s="187"/>
      <c r="J42" s="187"/>
    </row>
  </sheetData>
  <mergeCells count="5">
    <mergeCell ref="A42:E42"/>
    <mergeCell ref="A2:A3"/>
    <mergeCell ref="B2:C2"/>
    <mergeCell ref="D2:E2"/>
    <mergeCell ref="A40:E40"/>
  </mergeCells>
  <phoneticPr fontId="4"/>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89C4-36CB-49B6-84AE-32C1073CD989}">
  <sheetPr codeName="Sheet17">
    <pageSetUpPr fitToPage="1"/>
  </sheetPr>
  <dimension ref="A1:V29"/>
  <sheetViews>
    <sheetView showGridLines="0" workbookViewId="0">
      <selection activeCell="J1" sqref="J1"/>
    </sheetView>
  </sheetViews>
  <sheetFormatPr defaultRowHeight="16.5" customHeight="1"/>
  <cols>
    <col min="1" max="17" width="6.59765625" style="82" customWidth="1"/>
    <col min="18" max="18" width="8.09765625" style="82" customWidth="1"/>
    <col min="19" max="264" width="9" style="82"/>
    <col min="265" max="265" width="6.19921875" style="82" customWidth="1"/>
    <col min="266" max="273" width="5.59765625" style="82" customWidth="1"/>
    <col min="274" max="274" width="8.09765625" style="82" customWidth="1"/>
    <col min="275" max="520" width="9" style="82"/>
    <col min="521" max="521" width="6.19921875" style="82" customWidth="1"/>
    <col min="522" max="529" width="5.59765625" style="82" customWidth="1"/>
    <col min="530" max="530" width="8.09765625" style="82" customWidth="1"/>
    <col min="531" max="776" width="9" style="82"/>
    <col min="777" max="777" width="6.19921875" style="82" customWidth="1"/>
    <col min="778" max="785" width="5.59765625" style="82" customWidth="1"/>
    <col min="786" max="786" width="8.09765625" style="82" customWidth="1"/>
    <col min="787" max="1032" width="9" style="82"/>
    <col min="1033" max="1033" width="6.19921875" style="82" customWidth="1"/>
    <col min="1034" max="1041" width="5.59765625" style="82" customWidth="1"/>
    <col min="1042" max="1042" width="8.09765625" style="82" customWidth="1"/>
    <col min="1043" max="1288" width="9" style="82"/>
    <col min="1289" max="1289" width="6.19921875" style="82" customWidth="1"/>
    <col min="1290" max="1297" width="5.59765625" style="82" customWidth="1"/>
    <col min="1298" max="1298" width="8.09765625" style="82" customWidth="1"/>
    <col min="1299" max="1544" width="9" style="82"/>
    <col min="1545" max="1545" width="6.19921875" style="82" customWidth="1"/>
    <col min="1546" max="1553" width="5.59765625" style="82" customWidth="1"/>
    <col min="1554" max="1554" width="8.09765625" style="82" customWidth="1"/>
    <col min="1555" max="1800" width="9" style="82"/>
    <col min="1801" max="1801" width="6.19921875" style="82" customWidth="1"/>
    <col min="1802" max="1809" width="5.59765625" style="82" customWidth="1"/>
    <col min="1810" max="1810" width="8.09765625" style="82" customWidth="1"/>
    <col min="1811" max="2056" width="9" style="82"/>
    <col min="2057" max="2057" width="6.19921875" style="82" customWidth="1"/>
    <col min="2058" max="2065" width="5.59765625" style="82" customWidth="1"/>
    <col min="2066" max="2066" width="8.09765625" style="82" customWidth="1"/>
    <col min="2067" max="2312" width="9" style="82"/>
    <col min="2313" max="2313" width="6.19921875" style="82" customWidth="1"/>
    <col min="2314" max="2321" width="5.59765625" style="82" customWidth="1"/>
    <col min="2322" max="2322" width="8.09765625" style="82" customWidth="1"/>
    <col min="2323" max="2568" width="9" style="82"/>
    <col min="2569" max="2569" width="6.19921875" style="82" customWidth="1"/>
    <col min="2570" max="2577" width="5.59765625" style="82" customWidth="1"/>
    <col min="2578" max="2578" width="8.09765625" style="82" customWidth="1"/>
    <col min="2579" max="2824" width="9" style="82"/>
    <col min="2825" max="2825" width="6.19921875" style="82" customWidth="1"/>
    <col min="2826" max="2833" width="5.59765625" style="82" customWidth="1"/>
    <col min="2834" max="2834" width="8.09765625" style="82" customWidth="1"/>
    <col min="2835" max="3080" width="9" style="82"/>
    <col min="3081" max="3081" width="6.19921875" style="82" customWidth="1"/>
    <col min="3082" max="3089" width="5.59765625" style="82" customWidth="1"/>
    <col min="3090" max="3090" width="8.09765625" style="82" customWidth="1"/>
    <col min="3091" max="3336" width="9" style="82"/>
    <col min="3337" max="3337" width="6.19921875" style="82" customWidth="1"/>
    <col min="3338" max="3345" width="5.59765625" style="82" customWidth="1"/>
    <col min="3346" max="3346" width="8.09765625" style="82" customWidth="1"/>
    <col min="3347" max="3592" width="9" style="82"/>
    <col min="3593" max="3593" width="6.19921875" style="82" customWidth="1"/>
    <col min="3594" max="3601" width="5.59765625" style="82" customWidth="1"/>
    <col min="3602" max="3602" width="8.09765625" style="82" customWidth="1"/>
    <col min="3603" max="3848" width="9" style="82"/>
    <col min="3849" max="3849" width="6.19921875" style="82" customWidth="1"/>
    <col min="3850" max="3857" width="5.59765625" style="82" customWidth="1"/>
    <col min="3858" max="3858" width="8.09765625" style="82" customWidth="1"/>
    <col min="3859" max="4104" width="9" style="82"/>
    <col min="4105" max="4105" width="6.19921875" style="82" customWidth="1"/>
    <col min="4106" max="4113" width="5.59765625" style="82" customWidth="1"/>
    <col min="4114" max="4114" width="8.09765625" style="82" customWidth="1"/>
    <col min="4115" max="4360" width="9" style="82"/>
    <col min="4361" max="4361" width="6.19921875" style="82" customWidth="1"/>
    <col min="4362" max="4369" width="5.59765625" style="82" customWidth="1"/>
    <col min="4370" max="4370" width="8.09765625" style="82" customWidth="1"/>
    <col min="4371" max="4616" width="9" style="82"/>
    <col min="4617" max="4617" width="6.19921875" style="82" customWidth="1"/>
    <col min="4618" max="4625" width="5.59765625" style="82" customWidth="1"/>
    <col min="4626" max="4626" width="8.09765625" style="82" customWidth="1"/>
    <col min="4627" max="4872" width="9" style="82"/>
    <col min="4873" max="4873" width="6.19921875" style="82" customWidth="1"/>
    <col min="4874" max="4881" width="5.59765625" style="82" customWidth="1"/>
    <col min="4882" max="4882" width="8.09765625" style="82" customWidth="1"/>
    <col min="4883" max="5128" width="9" style="82"/>
    <col min="5129" max="5129" width="6.19921875" style="82" customWidth="1"/>
    <col min="5130" max="5137" width="5.59765625" style="82" customWidth="1"/>
    <col min="5138" max="5138" width="8.09765625" style="82" customWidth="1"/>
    <col min="5139" max="5384" width="9" style="82"/>
    <col min="5385" max="5385" width="6.19921875" style="82" customWidth="1"/>
    <col min="5386" max="5393" width="5.59765625" style="82" customWidth="1"/>
    <col min="5394" max="5394" width="8.09765625" style="82" customWidth="1"/>
    <col min="5395" max="5640" width="9" style="82"/>
    <col min="5641" max="5641" width="6.19921875" style="82" customWidth="1"/>
    <col min="5642" max="5649" width="5.59765625" style="82" customWidth="1"/>
    <col min="5650" max="5650" width="8.09765625" style="82" customWidth="1"/>
    <col min="5651" max="5896" width="9" style="82"/>
    <col min="5897" max="5897" width="6.19921875" style="82" customWidth="1"/>
    <col min="5898" max="5905" width="5.59765625" style="82" customWidth="1"/>
    <col min="5906" max="5906" width="8.09765625" style="82" customWidth="1"/>
    <col min="5907" max="6152" width="9" style="82"/>
    <col min="6153" max="6153" width="6.19921875" style="82" customWidth="1"/>
    <col min="6154" max="6161" width="5.59765625" style="82" customWidth="1"/>
    <col min="6162" max="6162" width="8.09765625" style="82" customWidth="1"/>
    <col min="6163" max="6408" width="9" style="82"/>
    <col min="6409" max="6409" width="6.19921875" style="82" customWidth="1"/>
    <col min="6410" max="6417" width="5.59765625" style="82" customWidth="1"/>
    <col min="6418" max="6418" width="8.09765625" style="82" customWidth="1"/>
    <col min="6419" max="6664" width="9" style="82"/>
    <col min="6665" max="6665" width="6.19921875" style="82" customWidth="1"/>
    <col min="6666" max="6673" width="5.59765625" style="82" customWidth="1"/>
    <col min="6674" max="6674" width="8.09765625" style="82" customWidth="1"/>
    <col min="6675" max="6920" width="9" style="82"/>
    <col min="6921" max="6921" width="6.19921875" style="82" customWidth="1"/>
    <col min="6922" max="6929" width="5.59765625" style="82" customWidth="1"/>
    <col min="6930" max="6930" width="8.09765625" style="82" customWidth="1"/>
    <col min="6931" max="7176" width="9" style="82"/>
    <col min="7177" max="7177" width="6.19921875" style="82" customWidth="1"/>
    <col min="7178" max="7185" width="5.59765625" style="82" customWidth="1"/>
    <col min="7186" max="7186" width="8.09765625" style="82" customWidth="1"/>
    <col min="7187" max="7432" width="9" style="82"/>
    <col min="7433" max="7433" width="6.19921875" style="82" customWidth="1"/>
    <col min="7434" max="7441" width="5.59765625" style="82" customWidth="1"/>
    <col min="7442" max="7442" width="8.09765625" style="82" customWidth="1"/>
    <col min="7443" max="7688" width="9" style="82"/>
    <col min="7689" max="7689" width="6.19921875" style="82" customWidth="1"/>
    <col min="7690" max="7697" width="5.59765625" style="82" customWidth="1"/>
    <col min="7698" max="7698" width="8.09765625" style="82" customWidth="1"/>
    <col min="7699" max="7944" width="9" style="82"/>
    <col min="7945" max="7945" width="6.19921875" style="82" customWidth="1"/>
    <col min="7946" max="7953" width="5.59765625" style="82" customWidth="1"/>
    <col min="7954" max="7954" width="8.09765625" style="82" customWidth="1"/>
    <col min="7955" max="8200" width="9" style="82"/>
    <col min="8201" max="8201" width="6.19921875" style="82" customWidth="1"/>
    <col min="8202" max="8209" width="5.59765625" style="82" customWidth="1"/>
    <col min="8210" max="8210" width="8.09765625" style="82" customWidth="1"/>
    <col min="8211" max="8456" width="9" style="82"/>
    <col min="8457" max="8457" width="6.19921875" style="82" customWidth="1"/>
    <col min="8458" max="8465" width="5.59765625" style="82" customWidth="1"/>
    <col min="8466" max="8466" width="8.09765625" style="82" customWidth="1"/>
    <col min="8467" max="8712" width="9" style="82"/>
    <col min="8713" max="8713" width="6.19921875" style="82" customWidth="1"/>
    <col min="8714" max="8721" width="5.59765625" style="82" customWidth="1"/>
    <col min="8722" max="8722" width="8.09765625" style="82" customWidth="1"/>
    <col min="8723" max="8968" width="9" style="82"/>
    <col min="8969" max="8969" width="6.19921875" style="82" customWidth="1"/>
    <col min="8970" max="8977" width="5.59765625" style="82" customWidth="1"/>
    <col min="8978" max="8978" width="8.09765625" style="82" customWidth="1"/>
    <col min="8979" max="9224" width="9" style="82"/>
    <col min="9225" max="9225" width="6.19921875" style="82" customWidth="1"/>
    <col min="9226" max="9233" width="5.59765625" style="82" customWidth="1"/>
    <col min="9234" max="9234" width="8.09765625" style="82" customWidth="1"/>
    <col min="9235" max="9480" width="9" style="82"/>
    <col min="9481" max="9481" width="6.19921875" style="82" customWidth="1"/>
    <col min="9482" max="9489" width="5.59765625" style="82" customWidth="1"/>
    <col min="9490" max="9490" width="8.09765625" style="82" customWidth="1"/>
    <col min="9491" max="9736" width="9" style="82"/>
    <col min="9737" max="9737" width="6.19921875" style="82" customWidth="1"/>
    <col min="9738" max="9745" width="5.59765625" style="82" customWidth="1"/>
    <col min="9746" max="9746" width="8.09765625" style="82" customWidth="1"/>
    <col min="9747" max="9992" width="9" style="82"/>
    <col min="9993" max="9993" width="6.19921875" style="82" customWidth="1"/>
    <col min="9994" max="10001" width="5.59765625" style="82" customWidth="1"/>
    <col min="10002" max="10002" width="8.09765625" style="82" customWidth="1"/>
    <col min="10003" max="10248" width="9" style="82"/>
    <col min="10249" max="10249" width="6.19921875" style="82" customWidth="1"/>
    <col min="10250" max="10257" width="5.59765625" style="82" customWidth="1"/>
    <col min="10258" max="10258" width="8.09765625" style="82" customWidth="1"/>
    <col min="10259" max="10504" width="9" style="82"/>
    <col min="10505" max="10505" width="6.19921875" style="82" customWidth="1"/>
    <col min="10506" max="10513" width="5.59765625" style="82" customWidth="1"/>
    <col min="10514" max="10514" width="8.09765625" style="82" customWidth="1"/>
    <col min="10515" max="10760" width="9" style="82"/>
    <col min="10761" max="10761" width="6.19921875" style="82" customWidth="1"/>
    <col min="10762" max="10769" width="5.59765625" style="82" customWidth="1"/>
    <col min="10770" max="10770" width="8.09765625" style="82" customWidth="1"/>
    <col min="10771" max="11016" width="9" style="82"/>
    <col min="11017" max="11017" width="6.19921875" style="82" customWidth="1"/>
    <col min="11018" max="11025" width="5.59765625" style="82" customWidth="1"/>
    <col min="11026" max="11026" width="8.09765625" style="82" customWidth="1"/>
    <col min="11027" max="11272" width="9" style="82"/>
    <col min="11273" max="11273" width="6.19921875" style="82" customWidth="1"/>
    <col min="11274" max="11281" width="5.59765625" style="82" customWidth="1"/>
    <col min="11282" max="11282" width="8.09765625" style="82" customWidth="1"/>
    <col min="11283" max="11528" width="9" style="82"/>
    <col min="11529" max="11529" width="6.19921875" style="82" customWidth="1"/>
    <col min="11530" max="11537" width="5.59765625" style="82" customWidth="1"/>
    <col min="11538" max="11538" width="8.09765625" style="82" customWidth="1"/>
    <col min="11539" max="11784" width="9" style="82"/>
    <col min="11785" max="11785" width="6.19921875" style="82" customWidth="1"/>
    <col min="11786" max="11793" width="5.59765625" style="82" customWidth="1"/>
    <col min="11794" max="11794" width="8.09765625" style="82" customWidth="1"/>
    <col min="11795" max="12040" width="9" style="82"/>
    <col min="12041" max="12041" width="6.19921875" style="82" customWidth="1"/>
    <col min="12042" max="12049" width="5.59765625" style="82" customWidth="1"/>
    <col min="12050" max="12050" width="8.09765625" style="82" customWidth="1"/>
    <col min="12051" max="12296" width="9" style="82"/>
    <col min="12297" max="12297" width="6.19921875" style="82" customWidth="1"/>
    <col min="12298" max="12305" width="5.59765625" style="82" customWidth="1"/>
    <col min="12306" max="12306" width="8.09765625" style="82" customWidth="1"/>
    <col min="12307" max="12552" width="9" style="82"/>
    <col min="12553" max="12553" width="6.19921875" style="82" customWidth="1"/>
    <col min="12554" max="12561" width="5.59765625" style="82" customWidth="1"/>
    <col min="12562" max="12562" width="8.09765625" style="82" customWidth="1"/>
    <col min="12563" max="12808" width="9" style="82"/>
    <col min="12809" max="12809" width="6.19921875" style="82" customWidth="1"/>
    <col min="12810" max="12817" width="5.59765625" style="82" customWidth="1"/>
    <col min="12818" max="12818" width="8.09765625" style="82" customWidth="1"/>
    <col min="12819" max="13064" width="9" style="82"/>
    <col min="13065" max="13065" width="6.19921875" style="82" customWidth="1"/>
    <col min="13066" max="13073" width="5.59765625" style="82" customWidth="1"/>
    <col min="13074" max="13074" width="8.09765625" style="82" customWidth="1"/>
    <col min="13075" max="13320" width="9" style="82"/>
    <col min="13321" max="13321" width="6.19921875" style="82" customWidth="1"/>
    <col min="13322" max="13329" width="5.59765625" style="82" customWidth="1"/>
    <col min="13330" max="13330" width="8.09765625" style="82" customWidth="1"/>
    <col min="13331" max="13576" width="9" style="82"/>
    <col min="13577" max="13577" width="6.19921875" style="82" customWidth="1"/>
    <col min="13578" max="13585" width="5.59765625" style="82" customWidth="1"/>
    <col min="13586" max="13586" width="8.09765625" style="82" customWidth="1"/>
    <col min="13587" max="13832" width="9" style="82"/>
    <col min="13833" max="13833" width="6.19921875" style="82" customWidth="1"/>
    <col min="13834" max="13841" width="5.59765625" style="82" customWidth="1"/>
    <col min="13842" max="13842" width="8.09765625" style="82" customWidth="1"/>
    <col min="13843" max="14088" width="9" style="82"/>
    <col min="14089" max="14089" width="6.19921875" style="82" customWidth="1"/>
    <col min="14090" max="14097" width="5.59765625" style="82" customWidth="1"/>
    <col min="14098" max="14098" width="8.09765625" style="82" customWidth="1"/>
    <col min="14099" max="14344" width="9" style="82"/>
    <col min="14345" max="14345" width="6.19921875" style="82" customWidth="1"/>
    <col min="14346" max="14353" width="5.59765625" style="82" customWidth="1"/>
    <col min="14354" max="14354" width="8.09765625" style="82" customWidth="1"/>
    <col min="14355" max="14600" width="9" style="82"/>
    <col min="14601" max="14601" width="6.19921875" style="82" customWidth="1"/>
    <col min="14602" max="14609" width="5.59765625" style="82" customWidth="1"/>
    <col min="14610" max="14610" width="8.09765625" style="82" customWidth="1"/>
    <col min="14611" max="14856" width="9" style="82"/>
    <col min="14857" max="14857" width="6.19921875" style="82" customWidth="1"/>
    <col min="14858" max="14865" width="5.59765625" style="82" customWidth="1"/>
    <col min="14866" max="14866" width="8.09765625" style="82" customWidth="1"/>
    <col min="14867" max="15112" width="9" style="82"/>
    <col min="15113" max="15113" width="6.19921875" style="82" customWidth="1"/>
    <col min="15114" max="15121" width="5.59765625" style="82" customWidth="1"/>
    <col min="15122" max="15122" width="8.09765625" style="82" customWidth="1"/>
    <col min="15123" max="15368" width="9" style="82"/>
    <col min="15369" max="15369" width="6.19921875" style="82" customWidth="1"/>
    <col min="15370" max="15377" width="5.59765625" style="82" customWidth="1"/>
    <col min="15378" max="15378" width="8.09765625" style="82" customWidth="1"/>
    <col min="15379" max="15624" width="9" style="82"/>
    <col min="15625" max="15625" width="6.19921875" style="82" customWidth="1"/>
    <col min="15626" max="15633" width="5.59765625" style="82" customWidth="1"/>
    <col min="15634" max="15634" width="8.09765625" style="82" customWidth="1"/>
    <col min="15635" max="15880" width="9" style="82"/>
    <col min="15881" max="15881" width="6.19921875" style="82" customWidth="1"/>
    <col min="15882" max="15889" width="5.59765625" style="82" customWidth="1"/>
    <col min="15890" max="15890" width="8.09765625" style="82" customWidth="1"/>
    <col min="15891" max="16136" width="9" style="82"/>
    <col min="16137" max="16137" width="6.19921875" style="82" customWidth="1"/>
    <col min="16138" max="16145" width="5.59765625" style="82" customWidth="1"/>
    <col min="16146" max="16146" width="8.09765625" style="82" customWidth="1"/>
    <col min="16147" max="16384" width="9" style="82"/>
  </cols>
  <sheetData>
    <row r="1" spans="1:22" ht="30" customHeight="1">
      <c r="A1" s="2139" t="s">
        <v>271</v>
      </c>
      <c r="B1" s="2139"/>
      <c r="C1" s="2139"/>
      <c r="D1" s="2139"/>
      <c r="E1" s="2139"/>
      <c r="F1" s="2139"/>
      <c r="G1" s="2139"/>
      <c r="H1" s="2139"/>
      <c r="I1" s="2139"/>
      <c r="J1" s="2139"/>
      <c r="K1" s="2139"/>
      <c r="L1" s="2139"/>
      <c r="M1" s="2139"/>
      <c r="N1" s="2139"/>
      <c r="O1" s="2139"/>
      <c r="P1" s="2139"/>
      <c r="Q1" s="1"/>
    </row>
    <row r="2" spans="1:22" ht="16.5" customHeight="1" thickBot="1">
      <c r="A2" s="11"/>
      <c r="B2" s="1"/>
      <c r="C2" s="1"/>
      <c r="D2" s="1"/>
      <c r="E2" s="1"/>
      <c r="F2" s="1"/>
      <c r="G2" s="1"/>
      <c r="H2" s="1"/>
      <c r="I2" s="1"/>
      <c r="J2" s="1"/>
      <c r="K2" s="1"/>
      <c r="L2" s="1"/>
      <c r="M2" s="1"/>
      <c r="N2" s="1"/>
      <c r="O2" s="1"/>
      <c r="P2" s="1"/>
      <c r="Q2" s="3"/>
      <c r="R2" s="3" t="s">
        <v>272</v>
      </c>
    </row>
    <row r="3" spans="1:22" s="11" customFormat="1" ht="16.5" customHeight="1">
      <c r="A3" s="2180" t="s">
        <v>273</v>
      </c>
      <c r="B3" s="2183" t="s">
        <v>274</v>
      </c>
      <c r="C3" s="2184"/>
      <c r="D3" s="2184"/>
      <c r="E3" s="2185"/>
      <c r="F3" s="2183" t="s">
        <v>275</v>
      </c>
      <c r="G3" s="2184"/>
      <c r="H3" s="2184"/>
      <c r="I3" s="2185"/>
      <c r="J3" s="2183" t="s">
        <v>276</v>
      </c>
      <c r="K3" s="2184"/>
      <c r="L3" s="2184"/>
      <c r="M3" s="2185"/>
      <c r="N3" s="2183" t="s">
        <v>277</v>
      </c>
      <c r="O3" s="2184"/>
      <c r="P3" s="2184"/>
      <c r="Q3" s="2185"/>
      <c r="R3" s="2208" t="s">
        <v>278</v>
      </c>
    </row>
    <row r="4" spans="1:22" s="11" customFormat="1" ht="16.5" customHeight="1">
      <c r="A4" s="2204"/>
      <c r="B4" s="130" t="s">
        <v>164</v>
      </c>
      <c r="C4" s="130" t="s">
        <v>165</v>
      </c>
      <c r="D4" s="130" t="s">
        <v>279</v>
      </c>
      <c r="E4" s="131" t="s">
        <v>36</v>
      </c>
      <c r="F4" s="130" t="s">
        <v>164</v>
      </c>
      <c r="G4" s="130" t="s">
        <v>165</v>
      </c>
      <c r="H4" s="130" t="s">
        <v>279</v>
      </c>
      <c r="I4" s="131" t="s">
        <v>36</v>
      </c>
      <c r="J4" s="130" t="s">
        <v>164</v>
      </c>
      <c r="K4" s="130" t="s">
        <v>165</v>
      </c>
      <c r="L4" s="130" t="s">
        <v>279</v>
      </c>
      <c r="M4" s="131" t="s">
        <v>36</v>
      </c>
      <c r="N4" s="130" t="s">
        <v>164</v>
      </c>
      <c r="O4" s="130" t="s">
        <v>165</v>
      </c>
      <c r="P4" s="130" t="s">
        <v>279</v>
      </c>
      <c r="Q4" s="131" t="s">
        <v>36</v>
      </c>
      <c r="R4" s="2188"/>
    </row>
    <row r="5" spans="1:22" s="11" customFormat="1" ht="16.5" customHeight="1">
      <c r="A5" s="35" t="s">
        <v>280</v>
      </c>
      <c r="B5" s="35" t="s">
        <v>229</v>
      </c>
      <c r="C5" s="35" t="s">
        <v>229</v>
      </c>
      <c r="D5" s="35" t="s">
        <v>229</v>
      </c>
      <c r="E5" s="35" t="s">
        <v>281</v>
      </c>
      <c r="F5" s="35" t="s">
        <v>229</v>
      </c>
      <c r="G5" s="35" t="s">
        <v>229</v>
      </c>
      <c r="H5" s="35" t="s">
        <v>229</v>
      </c>
      <c r="I5" s="35" t="s">
        <v>281</v>
      </c>
      <c r="J5" s="35" t="s">
        <v>229</v>
      </c>
      <c r="K5" s="35" t="s">
        <v>229</v>
      </c>
      <c r="L5" s="35" t="s">
        <v>229</v>
      </c>
      <c r="M5" s="35" t="s">
        <v>281</v>
      </c>
      <c r="N5" s="35" t="s">
        <v>229</v>
      </c>
      <c r="O5" s="35" t="s">
        <v>229</v>
      </c>
      <c r="P5" s="35" t="s">
        <v>229</v>
      </c>
      <c r="Q5" s="35" t="s">
        <v>281</v>
      </c>
      <c r="R5" s="38" t="s">
        <v>167</v>
      </c>
      <c r="T5" s="189"/>
      <c r="V5" s="189"/>
    </row>
    <row r="6" spans="1:22" s="11" customFormat="1" ht="16.5" customHeight="1">
      <c r="A6" s="40" t="s">
        <v>282</v>
      </c>
      <c r="B6" s="190">
        <v>15571</v>
      </c>
      <c r="C6" s="111">
        <v>16574</v>
      </c>
      <c r="D6" s="190">
        <v>32145</v>
      </c>
      <c r="E6" s="191">
        <v>99.972001866542243</v>
      </c>
      <c r="F6" s="111">
        <v>14429</v>
      </c>
      <c r="G6" s="111">
        <v>15372</v>
      </c>
      <c r="H6" s="111">
        <v>29801</v>
      </c>
      <c r="I6" s="192">
        <v>99.972001866542243</v>
      </c>
      <c r="J6" s="111">
        <v>13555</v>
      </c>
      <c r="K6" s="111">
        <v>14486</v>
      </c>
      <c r="L6" s="111">
        <v>28041</v>
      </c>
      <c r="M6" s="192">
        <v>99.972001866542243</v>
      </c>
      <c r="N6" s="111">
        <f>+SUM(N7:N28)</f>
        <v>12594</v>
      </c>
      <c r="O6" s="111">
        <f>+SUM(O7:O28)</f>
        <v>13435</v>
      </c>
      <c r="P6" s="111">
        <f>+SUM(P7:P28)</f>
        <v>26029</v>
      </c>
      <c r="Q6" s="192">
        <f>+SUM(Q7:Q28)</f>
        <v>100</v>
      </c>
      <c r="R6" s="193">
        <f t="shared" ref="R6:R27" si="0">+P6-L6</f>
        <v>-2012</v>
      </c>
    </row>
    <row r="7" spans="1:22" s="11" customFormat="1" ht="16.5" customHeight="1">
      <c r="A7" s="40" t="s">
        <v>283</v>
      </c>
      <c r="B7" s="190">
        <v>641</v>
      </c>
      <c r="C7" s="111">
        <v>662</v>
      </c>
      <c r="D7" s="190">
        <v>1303</v>
      </c>
      <c r="E7" s="194">
        <f>(+D7/D6)*100</f>
        <v>4.0535075439415147</v>
      </c>
      <c r="F7" s="111">
        <v>524</v>
      </c>
      <c r="G7" s="190">
        <v>443</v>
      </c>
      <c r="H7" s="111">
        <v>967</v>
      </c>
      <c r="I7" s="194">
        <f>(+H7/H6)*100</f>
        <v>3.2448575551156003</v>
      </c>
      <c r="J7" s="111">
        <v>448</v>
      </c>
      <c r="K7" s="190">
        <v>375</v>
      </c>
      <c r="L7" s="111">
        <v>823</v>
      </c>
      <c r="M7" s="194">
        <f>(+L7/L6)*100</f>
        <v>2.9349880532078028</v>
      </c>
      <c r="N7" s="111">
        <v>363</v>
      </c>
      <c r="O7" s="190">
        <v>315</v>
      </c>
      <c r="P7" s="111">
        <f>+N7+O7</f>
        <v>678</v>
      </c>
      <c r="Q7" s="194">
        <f>(+P7/P6)*100</f>
        <v>2.6047869683814207</v>
      </c>
      <c r="R7" s="193">
        <f t="shared" si="0"/>
        <v>-145</v>
      </c>
      <c r="T7" s="195"/>
      <c r="U7" s="195"/>
      <c r="V7" s="195"/>
    </row>
    <row r="8" spans="1:22" s="11" customFormat="1" ht="16.5" customHeight="1">
      <c r="A8" s="40" t="s">
        <v>284</v>
      </c>
      <c r="B8" s="190">
        <v>811</v>
      </c>
      <c r="C8" s="111">
        <v>760</v>
      </c>
      <c r="D8" s="190">
        <v>1571</v>
      </c>
      <c r="E8" s="194">
        <f>(+D8/D6)*100</f>
        <v>4.8872297402395395</v>
      </c>
      <c r="F8" s="111">
        <v>599</v>
      </c>
      <c r="G8" s="190">
        <v>631</v>
      </c>
      <c r="H8" s="111">
        <v>1230</v>
      </c>
      <c r="I8" s="194">
        <f>(+H8/H6)*100</f>
        <v>4.1273782758967821</v>
      </c>
      <c r="J8" s="111">
        <v>516</v>
      </c>
      <c r="K8" s="190">
        <v>442</v>
      </c>
      <c r="L8" s="111">
        <v>958</v>
      </c>
      <c r="M8" s="194">
        <f>(+L8/L6)*100</f>
        <v>3.4164259477194108</v>
      </c>
      <c r="N8" s="111">
        <v>443</v>
      </c>
      <c r="O8" s="190">
        <v>367</v>
      </c>
      <c r="P8" s="111">
        <f t="shared" ref="P8:P28" si="1">+N8+O8</f>
        <v>810</v>
      </c>
      <c r="Q8" s="194">
        <f>(+P8/P6)*100</f>
        <v>3.1119136347919629</v>
      </c>
      <c r="R8" s="193">
        <f t="shared" si="0"/>
        <v>-148</v>
      </c>
      <c r="T8" s="195"/>
      <c r="U8" s="195"/>
      <c r="V8" s="195"/>
    </row>
    <row r="9" spans="1:22" s="11" customFormat="1" ht="16.5" customHeight="1">
      <c r="A9" s="40" t="s">
        <v>285</v>
      </c>
      <c r="B9" s="190">
        <v>862</v>
      </c>
      <c r="C9" s="111">
        <v>753</v>
      </c>
      <c r="D9" s="190">
        <v>1615</v>
      </c>
      <c r="E9" s="194">
        <f>(+D9/D6)*100</f>
        <v>5.0241095038108572</v>
      </c>
      <c r="F9" s="111">
        <v>804</v>
      </c>
      <c r="G9" s="190">
        <v>719</v>
      </c>
      <c r="H9" s="111">
        <v>1523</v>
      </c>
      <c r="I9" s="194">
        <f>(+H9/H6)*100</f>
        <v>5.1105667595047146</v>
      </c>
      <c r="J9" s="111">
        <v>607</v>
      </c>
      <c r="K9" s="190">
        <v>642</v>
      </c>
      <c r="L9" s="111">
        <v>1249</v>
      </c>
      <c r="M9" s="194">
        <f>(+L9/L6)*100</f>
        <v>4.4541920758888773</v>
      </c>
      <c r="N9" s="111">
        <v>525</v>
      </c>
      <c r="O9" s="190">
        <v>447</v>
      </c>
      <c r="P9" s="111">
        <f t="shared" si="1"/>
        <v>972</v>
      </c>
      <c r="Q9" s="194">
        <f>(+P9/P6)*100</f>
        <v>3.7342963617503555</v>
      </c>
      <c r="R9" s="193">
        <f t="shared" si="0"/>
        <v>-277</v>
      </c>
      <c r="T9" s="195"/>
      <c r="U9" s="195"/>
      <c r="V9" s="195"/>
    </row>
    <row r="10" spans="1:22" s="11" customFormat="1" ht="16.5" customHeight="1">
      <c r="A10" s="40" t="s">
        <v>286</v>
      </c>
      <c r="B10" s="190">
        <v>681</v>
      </c>
      <c r="C10" s="111">
        <v>692</v>
      </c>
      <c r="D10" s="190">
        <v>1373</v>
      </c>
      <c r="E10" s="194">
        <f>(+D10/D6)*100</f>
        <v>4.2712708041686112</v>
      </c>
      <c r="F10" s="111">
        <v>685</v>
      </c>
      <c r="G10" s="190">
        <v>596</v>
      </c>
      <c r="H10" s="111">
        <v>1281</v>
      </c>
      <c r="I10" s="194">
        <f>(+H10/H6)*100</f>
        <v>4.2985134727022585</v>
      </c>
      <c r="J10" s="111">
        <v>661</v>
      </c>
      <c r="K10" s="190">
        <v>584</v>
      </c>
      <c r="L10" s="111">
        <v>1245</v>
      </c>
      <c r="M10" s="194">
        <f>(+L10/L6)*100</f>
        <v>4.4399272493848292</v>
      </c>
      <c r="N10" s="111">
        <v>499</v>
      </c>
      <c r="O10" s="190">
        <v>530</v>
      </c>
      <c r="P10" s="111">
        <f t="shared" si="1"/>
        <v>1029</v>
      </c>
      <c r="Q10" s="194">
        <f>(+P10/P6)*100</f>
        <v>3.9532828767912713</v>
      </c>
      <c r="R10" s="193">
        <f t="shared" si="0"/>
        <v>-216</v>
      </c>
      <c r="T10" s="195"/>
      <c r="U10" s="195"/>
      <c r="V10" s="195"/>
    </row>
    <row r="11" spans="1:22" s="11" customFormat="1" ht="16.5" customHeight="1">
      <c r="A11" s="40" t="s">
        <v>287</v>
      </c>
      <c r="B11" s="190">
        <v>601</v>
      </c>
      <c r="C11" s="111">
        <v>557</v>
      </c>
      <c r="D11" s="190">
        <v>1158</v>
      </c>
      <c r="E11" s="194">
        <f>(+D11/D6)*100</f>
        <v>3.6024265048996735</v>
      </c>
      <c r="F11" s="111">
        <v>441</v>
      </c>
      <c r="G11" s="190">
        <v>425</v>
      </c>
      <c r="H11" s="111">
        <v>866</v>
      </c>
      <c r="I11" s="194">
        <f>(+H11/H6)*100</f>
        <v>2.9059427535988727</v>
      </c>
      <c r="J11" s="111">
        <v>462</v>
      </c>
      <c r="K11" s="190">
        <v>430</v>
      </c>
      <c r="L11" s="111">
        <v>892</v>
      </c>
      <c r="M11" s="194">
        <f>(+L11/L6)*100</f>
        <v>3.1810563104026244</v>
      </c>
      <c r="N11" s="111">
        <v>452</v>
      </c>
      <c r="O11" s="190">
        <v>477</v>
      </c>
      <c r="P11" s="111">
        <f t="shared" si="1"/>
        <v>929</v>
      </c>
      <c r="Q11" s="194">
        <f>(+P11/P6)*100</f>
        <v>3.5690960082984362</v>
      </c>
      <c r="R11" s="193">
        <f t="shared" si="0"/>
        <v>37</v>
      </c>
      <c r="T11" s="195"/>
      <c r="U11" s="195"/>
      <c r="V11" s="195"/>
    </row>
    <row r="12" spans="1:22" s="11" customFormat="1" ht="16.5" customHeight="1">
      <c r="A12" s="40" t="s">
        <v>288</v>
      </c>
      <c r="B12" s="190">
        <v>886</v>
      </c>
      <c r="C12" s="111">
        <v>782</v>
      </c>
      <c r="D12" s="190">
        <v>1668</v>
      </c>
      <c r="E12" s="194">
        <f>(+D12/D6)*100</f>
        <v>5.1889874008399444</v>
      </c>
      <c r="F12" s="111">
        <v>615</v>
      </c>
      <c r="G12" s="190">
        <v>585</v>
      </c>
      <c r="H12" s="111">
        <v>1200</v>
      </c>
      <c r="I12" s="194">
        <f>(+H12/H6)*100</f>
        <v>4.0267105130700305</v>
      </c>
      <c r="J12" s="111">
        <v>486</v>
      </c>
      <c r="K12" s="190">
        <v>475</v>
      </c>
      <c r="L12" s="111">
        <v>961</v>
      </c>
      <c r="M12" s="194">
        <f>(+L12/L6)*100</f>
        <v>3.4271245675974464</v>
      </c>
      <c r="N12" s="111">
        <v>472</v>
      </c>
      <c r="O12" s="190">
        <v>403</v>
      </c>
      <c r="P12" s="111">
        <f t="shared" si="1"/>
        <v>875</v>
      </c>
      <c r="Q12" s="194">
        <f>(+P12/P6)*100</f>
        <v>3.3616350993123052</v>
      </c>
      <c r="R12" s="193">
        <f t="shared" si="0"/>
        <v>-86</v>
      </c>
      <c r="T12" s="195"/>
      <c r="U12" s="195"/>
      <c r="V12" s="195"/>
    </row>
    <row r="13" spans="1:22" s="11" customFormat="1" ht="16.5" customHeight="1">
      <c r="A13" s="40" t="s">
        <v>289</v>
      </c>
      <c r="B13" s="190">
        <v>1021</v>
      </c>
      <c r="C13" s="111">
        <v>1002</v>
      </c>
      <c r="D13" s="190">
        <v>2023</v>
      </c>
      <c r="E13" s="194">
        <f>(+D13/D6)*100</f>
        <v>6.293358220563074</v>
      </c>
      <c r="F13" s="111">
        <v>799</v>
      </c>
      <c r="G13" s="190">
        <v>722</v>
      </c>
      <c r="H13" s="111">
        <v>1521</v>
      </c>
      <c r="I13" s="194">
        <f>(+H13/H6)*100</f>
        <v>5.1038555753162642</v>
      </c>
      <c r="J13" s="111">
        <v>559</v>
      </c>
      <c r="K13" s="190">
        <v>558</v>
      </c>
      <c r="L13" s="111">
        <v>1117</v>
      </c>
      <c r="M13" s="194">
        <f>(+L13/L6)*100</f>
        <v>3.983452801255305</v>
      </c>
      <c r="N13" s="111">
        <v>430</v>
      </c>
      <c r="O13" s="190">
        <v>434</v>
      </c>
      <c r="P13" s="111">
        <f t="shared" si="1"/>
        <v>864</v>
      </c>
      <c r="Q13" s="194">
        <f>(+P13/P6)*100</f>
        <v>3.3193745437780935</v>
      </c>
      <c r="R13" s="193">
        <f t="shared" si="0"/>
        <v>-253</v>
      </c>
      <c r="T13" s="195"/>
      <c r="U13" s="195"/>
      <c r="V13" s="195"/>
    </row>
    <row r="14" spans="1:22" s="11" customFormat="1" ht="16.5" customHeight="1">
      <c r="A14" s="40" t="s">
        <v>290</v>
      </c>
      <c r="B14" s="190">
        <v>997</v>
      </c>
      <c r="C14" s="111">
        <v>967</v>
      </c>
      <c r="D14" s="190">
        <v>1964</v>
      </c>
      <c r="E14" s="194">
        <f>(+D14/D6)*100</f>
        <v>6.1098149012288072</v>
      </c>
      <c r="F14" s="111">
        <v>941</v>
      </c>
      <c r="G14" s="190">
        <v>923</v>
      </c>
      <c r="H14" s="111">
        <v>1864</v>
      </c>
      <c r="I14" s="194">
        <f>(+H14/H6)*100</f>
        <v>6.2548236636354488</v>
      </c>
      <c r="J14" s="111">
        <v>792</v>
      </c>
      <c r="K14" s="190">
        <v>688</v>
      </c>
      <c r="L14" s="111">
        <v>1480</v>
      </c>
      <c r="M14" s="194">
        <f>(+L14/L6)*100</f>
        <v>5.2779858064976288</v>
      </c>
      <c r="N14" s="111">
        <v>551</v>
      </c>
      <c r="O14" s="190">
        <v>549</v>
      </c>
      <c r="P14" s="111">
        <f t="shared" si="1"/>
        <v>1100</v>
      </c>
      <c r="Q14" s="194">
        <f>(+P14/P6)*100</f>
        <v>4.2260555534211841</v>
      </c>
      <c r="R14" s="193">
        <f t="shared" si="0"/>
        <v>-380</v>
      </c>
      <c r="T14" s="195"/>
      <c r="U14" s="195"/>
      <c r="V14" s="195"/>
    </row>
    <row r="15" spans="1:22" s="11" customFormat="1" ht="16.5" customHeight="1">
      <c r="A15" s="40" t="s">
        <v>291</v>
      </c>
      <c r="B15" s="190">
        <v>934</v>
      </c>
      <c r="C15" s="111">
        <v>905</v>
      </c>
      <c r="D15" s="190">
        <v>1839</v>
      </c>
      <c r="E15" s="194">
        <f>(+D15/D6)*100</f>
        <v>5.7209519365375643</v>
      </c>
      <c r="F15" s="111">
        <v>960</v>
      </c>
      <c r="G15" s="190">
        <v>875</v>
      </c>
      <c r="H15" s="111">
        <v>1835</v>
      </c>
      <c r="I15" s="194">
        <f>(+H15/H6)*100</f>
        <v>6.1575114929029233</v>
      </c>
      <c r="J15" s="111">
        <v>898</v>
      </c>
      <c r="K15" s="190">
        <v>892</v>
      </c>
      <c r="L15" s="111">
        <v>1790</v>
      </c>
      <c r="M15" s="194">
        <f>(+L15/L6)*100</f>
        <v>6.3835098605613201</v>
      </c>
      <c r="N15" s="111">
        <v>788</v>
      </c>
      <c r="O15" s="190">
        <v>682</v>
      </c>
      <c r="P15" s="111">
        <f t="shared" si="1"/>
        <v>1470</v>
      </c>
      <c r="Q15" s="194">
        <f>(+P15/P6)*100</f>
        <v>5.6475469668446738</v>
      </c>
      <c r="R15" s="193">
        <f t="shared" si="0"/>
        <v>-320</v>
      </c>
      <c r="T15" s="195"/>
      <c r="U15" s="195"/>
      <c r="V15" s="195"/>
    </row>
    <row r="16" spans="1:22" s="11" customFormat="1" ht="16.5" customHeight="1">
      <c r="A16" s="40" t="s">
        <v>292</v>
      </c>
      <c r="B16" s="190">
        <v>942</v>
      </c>
      <c r="C16" s="111">
        <v>902</v>
      </c>
      <c r="D16" s="190">
        <v>1844</v>
      </c>
      <c r="E16" s="194">
        <f>(+D16/D6)*100</f>
        <v>5.7365064551252143</v>
      </c>
      <c r="F16" s="111">
        <v>887</v>
      </c>
      <c r="G16" s="190">
        <v>874</v>
      </c>
      <c r="H16" s="111">
        <v>1761</v>
      </c>
      <c r="I16" s="194">
        <f>(+H16/H6)*100</f>
        <v>5.9091976779302708</v>
      </c>
      <c r="J16" s="111">
        <v>942</v>
      </c>
      <c r="K16" s="190">
        <v>865</v>
      </c>
      <c r="L16" s="111">
        <v>1807</v>
      </c>
      <c r="M16" s="194">
        <f>(+L16/L6)*100</f>
        <v>6.4441353732035234</v>
      </c>
      <c r="N16" s="111">
        <v>856</v>
      </c>
      <c r="O16" s="190">
        <v>882</v>
      </c>
      <c r="P16" s="111">
        <f t="shared" si="1"/>
        <v>1738</v>
      </c>
      <c r="Q16" s="194">
        <f>(+P16/P6)*100</f>
        <v>6.6771677744054712</v>
      </c>
      <c r="R16" s="193">
        <f t="shared" si="0"/>
        <v>-69</v>
      </c>
      <c r="T16" s="195"/>
      <c r="U16" s="195"/>
      <c r="V16" s="195"/>
    </row>
    <row r="17" spans="1:22" s="11" customFormat="1" ht="16.5" customHeight="1">
      <c r="A17" s="40" t="s">
        <v>293</v>
      </c>
      <c r="B17" s="190">
        <v>1143</v>
      </c>
      <c r="C17" s="111">
        <v>1098</v>
      </c>
      <c r="D17" s="190">
        <v>2241</v>
      </c>
      <c r="E17" s="194">
        <f>(+D17/D6)*100</f>
        <v>6.9715352309846006</v>
      </c>
      <c r="F17" s="111">
        <v>887</v>
      </c>
      <c r="G17" s="190">
        <v>870</v>
      </c>
      <c r="H17" s="111">
        <v>1757</v>
      </c>
      <c r="I17" s="194">
        <f>(+H17/H6)*100</f>
        <v>5.8957753095533709</v>
      </c>
      <c r="J17" s="111">
        <v>868</v>
      </c>
      <c r="K17" s="190">
        <v>853</v>
      </c>
      <c r="L17" s="111">
        <v>1721</v>
      </c>
      <c r="M17" s="194">
        <f>(+L17/L6)*100</f>
        <v>6.1374416033664989</v>
      </c>
      <c r="N17" s="111">
        <v>912</v>
      </c>
      <c r="O17" s="190">
        <v>857</v>
      </c>
      <c r="P17" s="111">
        <f t="shared" si="1"/>
        <v>1769</v>
      </c>
      <c r="Q17" s="194">
        <f>(+P17/P6)*100</f>
        <v>6.796265703638249</v>
      </c>
      <c r="R17" s="193">
        <f t="shared" si="0"/>
        <v>48</v>
      </c>
      <c r="T17" s="195"/>
      <c r="U17" s="195"/>
      <c r="V17" s="195"/>
    </row>
    <row r="18" spans="1:22" s="11" customFormat="1" ht="16.5" customHeight="1">
      <c r="A18" s="40" t="s">
        <v>294</v>
      </c>
      <c r="B18" s="190">
        <v>1366</v>
      </c>
      <c r="C18" s="111">
        <v>1333</v>
      </c>
      <c r="D18" s="190">
        <v>2699</v>
      </c>
      <c r="E18" s="194">
        <f>(+D18/D6)*100</f>
        <v>8.3963291336133139</v>
      </c>
      <c r="F18" s="111">
        <v>1101</v>
      </c>
      <c r="G18" s="190">
        <v>1090</v>
      </c>
      <c r="H18" s="111">
        <v>2191</v>
      </c>
      <c r="I18" s="194">
        <f>(+H18/H6)*100</f>
        <v>7.3521022784470311</v>
      </c>
      <c r="J18" s="111">
        <v>872</v>
      </c>
      <c r="K18" s="190">
        <v>856</v>
      </c>
      <c r="L18" s="111">
        <v>1728</v>
      </c>
      <c r="M18" s="194">
        <f>(+L18/L6)*100</f>
        <v>6.1624050497485827</v>
      </c>
      <c r="N18" s="111">
        <v>854</v>
      </c>
      <c r="O18" s="190">
        <v>853</v>
      </c>
      <c r="P18" s="111">
        <f t="shared" si="1"/>
        <v>1707</v>
      </c>
      <c r="Q18" s="194">
        <f>(+P18/P6)*100</f>
        <v>6.5580698451726924</v>
      </c>
      <c r="R18" s="193">
        <f t="shared" si="0"/>
        <v>-21</v>
      </c>
      <c r="T18" s="195"/>
      <c r="U18" s="195"/>
      <c r="V18" s="195"/>
    </row>
    <row r="19" spans="1:22" s="11" customFormat="1" ht="16.5" customHeight="1">
      <c r="A19" s="40" t="s">
        <v>295</v>
      </c>
      <c r="B19" s="190">
        <v>1110</v>
      </c>
      <c r="C19" s="111">
        <v>1167</v>
      </c>
      <c r="D19" s="190">
        <v>2277</v>
      </c>
      <c r="E19" s="194">
        <f>(+D19/D6)*100</f>
        <v>7.0835277648156794</v>
      </c>
      <c r="F19" s="111">
        <v>1318</v>
      </c>
      <c r="G19" s="190">
        <v>1312</v>
      </c>
      <c r="H19" s="111">
        <v>2630</v>
      </c>
      <c r="I19" s="194">
        <f>(+H19/H6)*100</f>
        <v>8.8252072078118182</v>
      </c>
      <c r="J19" s="111">
        <v>1078</v>
      </c>
      <c r="K19" s="190">
        <v>1081</v>
      </c>
      <c r="L19" s="111">
        <v>2159</v>
      </c>
      <c r="M19" s="194">
        <f>(+L19/L6)*100</f>
        <v>7.6994401055597157</v>
      </c>
      <c r="N19" s="111">
        <v>839</v>
      </c>
      <c r="O19" s="190">
        <v>854</v>
      </c>
      <c r="P19" s="111">
        <f t="shared" si="1"/>
        <v>1693</v>
      </c>
      <c r="Q19" s="194">
        <f>(+P19/P6)*100</f>
        <v>6.5042836835836946</v>
      </c>
      <c r="R19" s="193">
        <f t="shared" si="0"/>
        <v>-466</v>
      </c>
      <c r="T19" s="195"/>
      <c r="U19" s="195"/>
      <c r="V19" s="195"/>
    </row>
    <row r="20" spans="1:22" s="11" customFormat="1" ht="16.5" customHeight="1">
      <c r="A20" s="40" t="s">
        <v>296</v>
      </c>
      <c r="B20" s="190">
        <v>969</v>
      </c>
      <c r="C20" s="111">
        <v>1103</v>
      </c>
      <c r="D20" s="190">
        <v>2072</v>
      </c>
      <c r="E20" s="194">
        <f>(+D20/D6)*100</f>
        <v>6.4457925027220409</v>
      </c>
      <c r="F20" s="111">
        <v>1058</v>
      </c>
      <c r="G20" s="190">
        <v>1128</v>
      </c>
      <c r="H20" s="111">
        <v>2186</v>
      </c>
      <c r="I20" s="194">
        <f>(+H20/H6)*100</f>
        <v>7.3353243179759069</v>
      </c>
      <c r="J20" s="111">
        <v>1245</v>
      </c>
      <c r="K20" s="190">
        <v>1277</v>
      </c>
      <c r="L20" s="111">
        <v>2522</v>
      </c>
      <c r="M20" s="194">
        <f>(+L20/L6)*100</f>
        <v>8.99397311080204</v>
      </c>
      <c r="N20" s="111">
        <v>1025</v>
      </c>
      <c r="O20" s="190">
        <v>1045</v>
      </c>
      <c r="P20" s="111">
        <f t="shared" si="1"/>
        <v>2070</v>
      </c>
      <c r="Q20" s="194">
        <f>(+P20/P6)*100</f>
        <v>7.9526681778016837</v>
      </c>
      <c r="R20" s="193">
        <f t="shared" si="0"/>
        <v>-452</v>
      </c>
      <c r="T20" s="195"/>
      <c r="U20" s="195"/>
      <c r="V20" s="195"/>
    </row>
    <row r="21" spans="1:22" s="11" customFormat="1" ht="16.5" customHeight="1">
      <c r="A21" s="40" t="s">
        <v>297</v>
      </c>
      <c r="B21" s="190">
        <v>964</v>
      </c>
      <c r="C21" s="111">
        <v>1176</v>
      </c>
      <c r="D21" s="190">
        <v>2140</v>
      </c>
      <c r="E21" s="194">
        <f>(+D21/D6)*100</f>
        <v>6.6573339555140763</v>
      </c>
      <c r="F21" s="111">
        <v>881</v>
      </c>
      <c r="G21" s="190">
        <v>1040</v>
      </c>
      <c r="H21" s="111">
        <v>1921</v>
      </c>
      <c r="I21" s="194">
        <f>(+H21/H6)*100</f>
        <v>6.4460924130062756</v>
      </c>
      <c r="J21" s="111">
        <v>958</v>
      </c>
      <c r="K21" s="190">
        <v>1096</v>
      </c>
      <c r="L21" s="111">
        <v>2054</v>
      </c>
      <c r="M21" s="194">
        <f>(+L21/L6)*100</f>
        <v>7.3249884098284657</v>
      </c>
      <c r="N21" s="111">
        <v>1153</v>
      </c>
      <c r="O21" s="190">
        <v>1212</v>
      </c>
      <c r="P21" s="111">
        <f t="shared" si="1"/>
        <v>2365</v>
      </c>
      <c r="Q21" s="194">
        <f>(+P21/P6)*100</f>
        <v>9.0860194398555461</v>
      </c>
      <c r="R21" s="193">
        <f t="shared" si="0"/>
        <v>311</v>
      </c>
      <c r="T21" s="195"/>
      <c r="U21" s="195"/>
      <c r="V21" s="195"/>
    </row>
    <row r="22" spans="1:22" s="11" customFormat="1" ht="16.5" customHeight="1">
      <c r="A22" s="40" t="s">
        <v>298</v>
      </c>
      <c r="B22" s="190">
        <v>812</v>
      </c>
      <c r="C22" s="111">
        <v>1127</v>
      </c>
      <c r="D22" s="190">
        <v>1939</v>
      </c>
      <c r="E22" s="194">
        <f>(+D22/D6)*100</f>
        <v>6.0320423082905581</v>
      </c>
      <c r="F22" s="111">
        <v>828</v>
      </c>
      <c r="G22" s="190">
        <v>1096</v>
      </c>
      <c r="H22" s="111">
        <v>1924</v>
      </c>
      <c r="I22" s="194">
        <f>(+H22/H6)*100</f>
        <v>6.4561591892889503</v>
      </c>
      <c r="J22" s="111">
        <v>769</v>
      </c>
      <c r="K22" s="190">
        <v>975</v>
      </c>
      <c r="L22" s="111">
        <v>1744</v>
      </c>
      <c r="M22" s="194">
        <f>(+L22/L6)*100</f>
        <v>6.2194643557647726</v>
      </c>
      <c r="N22" s="111">
        <v>822</v>
      </c>
      <c r="O22" s="190">
        <v>1001</v>
      </c>
      <c r="P22" s="111">
        <f>+N22+O22</f>
        <v>1823</v>
      </c>
      <c r="Q22" s="194">
        <f>(+P22/P6)*100</f>
        <v>7.0037266126243809</v>
      </c>
      <c r="R22" s="193">
        <f t="shared" si="0"/>
        <v>79</v>
      </c>
      <c r="T22" s="195"/>
      <c r="U22" s="195"/>
      <c r="V22" s="195"/>
    </row>
    <row r="23" spans="1:22" s="11" customFormat="1" ht="16.5" customHeight="1">
      <c r="A23" s="40" t="s">
        <v>299</v>
      </c>
      <c r="B23" s="190">
        <v>531</v>
      </c>
      <c r="C23" s="111">
        <v>855</v>
      </c>
      <c r="D23" s="190">
        <v>1386</v>
      </c>
      <c r="E23" s="194">
        <f>(+D23/D6)*100</f>
        <v>4.3117125524965001</v>
      </c>
      <c r="F23" s="111">
        <v>612</v>
      </c>
      <c r="G23" s="190">
        <v>989</v>
      </c>
      <c r="H23" s="111">
        <v>1601</v>
      </c>
      <c r="I23" s="194">
        <f>(+H23/H6)*100</f>
        <v>5.3723029428542661</v>
      </c>
      <c r="J23" s="111">
        <v>650</v>
      </c>
      <c r="K23" s="190">
        <v>940</v>
      </c>
      <c r="L23" s="111">
        <v>1590</v>
      </c>
      <c r="M23" s="194">
        <f>(+L23/L6)*100</f>
        <v>5.6702685353589386</v>
      </c>
      <c r="N23" s="111">
        <v>610</v>
      </c>
      <c r="O23" s="190">
        <v>864</v>
      </c>
      <c r="P23" s="111">
        <f t="shared" si="1"/>
        <v>1474</v>
      </c>
      <c r="Q23" s="194">
        <f>(+P23/P6)*100</f>
        <v>5.6629144415843866</v>
      </c>
      <c r="R23" s="193">
        <f t="shared" si="0"/>
        <v>-116</v>
      </c>
      <c r="T23" s="195"/>
      <c r="U23" s="195"/>
      <c r="V23" s="195"/>
    </row>
    <row r="24" spans="1:22" s="11" customFormat="1" ht="16.5" customHeight="1">
      <c r="A24" s="40" t="s">
        <v>300</v>
      </c>
      <c r="B24" s="190">
        <v>219</v>
      </c>
      <c r="C24" s="111">
        <v>478</v>
      </c>
      <c r="D24" s="190">
        <v>697</v>
      </c>
      <c r="E24" s="194">
        <f>(+D24/D6)*100</f>
        <v>2.16829989111837</v>
      </c>
      <c r="F24" s="111">
        <v>340</v>
      </c>
      <c r="G24" s="190">
        <v>663</v>
      </c>
      <c r="H24" s="111">
        <v>1003</v>
      </c>
      <c r="I24" s="194">
        <f>(+H24/H6)*100</f>
        <v>3.3656588705077013</v>
      </c>
      <c r="J24" s="111">
        <v>408</v>
      </c>
      <c r="K24" s="190">
        <v>776</v>
      </c>
      <c r="L24" s="111">
        <v>1184</v>
      </c>
      <c r="M24" s="194">
        <f>(+L24/L6)*100</f>
        <v>4.2223886451981034</v>
      </c>
      <c r="N24" s="111">
        <v>450</v>
      </c>
      <c r="O24" s="190">
        <v>767</v>
      </c>
      <c r="P24" s="111">
        <f t="shared" si="1"/>
        <v>1217</v>
      </c>
      <c r="Q24" s="194">
        <f>(+P24/P6)*100</f>
        <v>4.6755541895578014</v>
      </c>
      <c r="R24" s="193">
        <f t="shared" si="0"/>
        <v>33</v>
      </c>
      <c r="T24" s="195"/>
      <c r="U24" s="195"/>
      <c r="V24" s="195"/>
    </row>
    <row r="25" spans="1:22" s="11" customFormat="1" ht="16.5" customHeight="1">
      <c r="A25" s="40" t="s">
        <v>301</v>
      </c>
      <c r="B25" s="190">
        <v>63</v>
      </c>
      <c r="C25" s="111">
        <v>193</v>
      </c>
      <c r="D25" s="190">
        <v>256</v>
      </c>
      <c r="E25" s="194">
        <f>(+D25/D6)*100</f>
        <v>0.79639135168766517</v>
      </c>
      <c r="F25" s="111">
        <v>93</v>
      </c>
      <c r="G25" s="190">
        <v>282</v>
      </c>
      <c r="H25" s="111">
        <v>375</v>
      </c>
      <c r="I25" s="194">
        <f>(+H25/H6)*100</f>
        <v>1.2583470353343849</v>
      </c>
      <c r="J25" s="111">
        <v>131</v>
      </c>
      <c r="K25" s="190">
        <v>392</v>
      </c>
      <c r="L25" s="111">
        <v>523</v>
      </c>
      <c r="M25" s="194">
        <f>(+L25/L6)*100</f>
        <v>1.8651260654042296</v>
      </c>
      <c r="N25" s="111">
        <v>212</v>
      </c>
      <c r="O25" s="190">
        <v>501</v>
      </c>
      <c r="P25" s="111">
        <f t="shared" si="1"/>
        <v>713</v>
      </c>
      <c r="Q25" s="194">
        <f>(+P25/P6)*100</f>
        <v>2.7392523723539131</v>
      </c>
      <c r="R25" s="193">
        <f t="shared" si="0"/>
        <v>190</v>
      </c>
      <c r="T25" s="195"/>
      <c r="U25" s="195"/>
      <c r="V25" s="195"/>
    </row>
    <row r="26" spans="1:22" s="11" customFormat="1" ht="16.5" customHeight="1">
      <c r="A26" s="40" t="s">
        <v>302</v>
      </c>
      <c r="B26" s="190">
        <v>13</v>
      </c>
      <c r="C26" s="111">
        <v>54</v>
      </c>
      <c r="D26" s="190">
        <v>67</v>
      </c>
      <c r="E26" s="194">
        <f>(+D26/D6)*100</f>
        <v>0.20843054907450617</v>
      </c>
      <c r="F26" s="111">
        <v>16</v>
      </c>
      <c r="G26" s="190">
        <v>88</v>
      </c>
      <c r="H26" s="111">
        <v>104</v>
      </c>
      <c r="I26" s="194">
        <f>(+H26/H6)*100</f>
        <v>0.3489815777994027</v>
      </c>
      <c r="J26" s="111">
        <v>27</v>
      </c>
      <c r="K26" s="190">
        <v>101</v>
      </c>
      <c r="L26" s="111">
        <v>128</v>
      </c>
      <c r="M26" s="194">
        <f>(+L26/L6)*100</f>
        <v>0.45647444812952465</v>
      </c>
      <c r="N26" s="111">
        <v>41</v>
      </c>
      <c r="O26" s="190">
        <v>164</v>
      </c>
      <c r="P26" s="111">
        <f t="shared" si="1"/>
        <v>205</v>
      </c>
      <c r="Q26" s="194">
        <f>(+P26/P6)*100</f>
        <v>0.78758308041031155</v>
      </c>
      <c r="R26" s="193">
        <f t="shared" si="0"/>
        <v>77</v>
      </c>
      <c r="T26" s="195"/>
      <c r="U26" s="195"/>
      <c r="V26" s="195"/>
    </row>
    <row r="27" spans="1:22" s="11" customFormat="1" ht="16.5" customHeight="1">
      <c r="A27" s="196" t="s">
        <v>303</v>
      </c>
      <c r="B27" s="197">
        <v>3</v>
      </c>
      <c r="C27" s="198">
        <v>1</v>
      </c>
      <c r="D27" s="199">
        <v>4</v>
      </c>
      <c r="E27" s="200">
        <f>(+D27/D6)*100</f>
        <v>1.2443614870119768E-2</v>
      </c>
      <c r="F27" s="201">
        <v>1</v>
      </c>
      <c r="G27" s="199">
        <v>5</v>
      </c>
      <c r="H27" s="201">
        <v>6</v>
      </c>
      <c r="I27" s="200">
        <f>(+H27/H6)*100</f>
        <v>2.0133552565350158E-2</v>
      </c>
      <c r="J27" s="201">
        <v>6</v>
      </c>
      <c r="K27" s="199">
        <v>15</v>
      </c>
      <c r="L27" s="201">
        <v>21</v>
      </c>
      <c r="M27" s="200">
        <f>(+L27/L6)*100</f>
        <v>7.4890339146250123E-2</v>
      </c>
      <c r="N27" s="201">
        <v>2</v>
      </c>
      <c r="O27" s="199">
        <v>22</v>
      </c>
      <c r="P27" s="201">
        <f t="shared" si="1"/>
        <v>24</v>
      </c>
      <c r="Q27" s="200">
        <f>(+P27/P6)*100</f>
        <v>9.2204848438280376E-2</v>
      </c>
      <c r="R27" s="202">
        <f t="shared" si="0"/>
        <v>3</v>
      </c>
      <c r="T27" s="195"/>
      <c r="U27" s="195"/>
      <c r="V27" s="195"/>
    </row>
    <row r="28" spans="1:22" s="11" customFormat="1" ht="16.5" customHeight="1" thickBot="1">
      <c r="A28" s="203" t="s">
        <v>304</v>
      </c>
      <c r="B28" s="204">
        <v>3</v>
      </c>
      <c r="C28" s="204" t="s">
        <v>305</v>
      </c>
      <c r="D28" s="205">
        <v>3</v>
      </c>
      <c r="E28" s="206">
        <f>(+D28/D6)*100</f>
        <v>9.3327111525898267E-3</v>
      </c>
      <c r="F28" s="204">
        <v>172</v>
      </c>
      <c r="G28" s="204">
        <v>173</v>
      </c>
      <c r="H28" s="205">
        <v>345</v>
      </c>
      <c r="I28" s="206">
        <f>(+H28/H6)*100</f>
        <v>1.1576792725076339</v>
      </c>
      <c r="J28" s="204">
        <v>172</v>
      </c>
      <c r="K28" s="204">
        <v>173</v>
      </c>
      <c r="L28" s="205">
        <v>345</v>
      </c>
      <c r="M28" s="206">
        <f>(+L28/L6)*100</f>
        <v>1.2303412859741094</v>
      </c>
      <c r="N28" s="204">
        <v>295</v>
      </c>
      <c r="O28" s="204">
        <v>209</v>
      </c>
      <c r="P28" s="205">
        <f t="shared" si="1"/>
        <v>504</v>
      </c>
      <c r="Q28" s="206">
        <f>(+P28/P6)*100</f>
        <v>1.9363018172038879</v>
      </c>
      <c r="R28" s="207">
        <f>+P28-L28</f>
        <v>159</v>
      </c>
    </row>
    <row r="29" spans="1:22" s="11" customFormat="1" ht="16.5" customHeight="1">
      <c r="A29" s="208" t="s">
        <v>306</v>
      </c>
    </row>
  </sheetData>
  <mergeCells count="6">
    <mergeCell ref="R3:R4"/>
    <mergeCell ref="A3:A4"/>
    <mergeCell ref="B3:E3"/>
    <mergeCell ref="F3:I3"/>
    <mergeCell ref="J3:M3"/>
    <mergeCell ref="N3:Q3"/>
  </mergeCells>
  <phoneticPr fontId="4"/>
  <printOptions horizontalCentered="1"/>
  <pageMargins left="0.78740157480314965" right="0.78740157480314965" top="0.98425196850393704" bottom="0.98425196850393704" header="0.51181102362204722" footer="0.51181102362204722"/>
  <pageSetup paperSize="9"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C0C33-2C58-4D27-AE51-C15581037851}">
  <sheetPr codeName="Sheet18"/>
  <dimension ref="A1:U24"/>
  <sheetViews>
    <sheetView showGridLines="0" workbookViewId="0"/>
  </sheetViews>
  <sheetFormatPr defaultColWidth="9.5" defaultRowHeight="18.75" customHeight="1"/>
  <cols>
    <col min="1" max="1" width="11.09765625" style="11" customWidth="1"/>
    <col min="2" max="10" width="9.5" style="11"/>
    <col min="11" max="12" width="9.5" style="11" customWidth="1"/>
    <col min="13" max="271" width="9.5" style="11"/>
    <col min="272" max="272" width="11.09765625" style="11" customWidth="1"/>
    <col min="273" max="527" width="9.5" style="11"/>
    <col min="528" max="528" width="11.09765625" style="11" customWidth="1"/>
    <col min="529" max="783" width="9.5" style="11"/>
    <col min="784" max="784" width="11.09765625" style="11" customWidth="1"/>
    <col min="785" max="1039" width="9.5" style="11"/>
    <col min="1040" max="1040" width="11.09765625" style="11" customWidth="1"/>
    <col min="1041" max="1295" width="9.5" style="11"/>
    <col min="1296" max="1296" width="11.09765625" style="11" customWidth="1"/>
    <col min="1297" max="1551" width="9.5" style="11"/>
    <col min="1552" max="1552" width="11.09765625" style="11" customWidth="1"/>
    <col min="1553" max="1807" width="9.5" style="11"/>
    <col min="1808" max="1808" width="11.09765625" style="11" customWidth="1"/>
    <col min="1809" max="2063" width="9.5" style="11"/>
    <col min="2064" max="2064" width="11.09765625" style="11" customWidth="1"/>
    <col min="2065" max="2319" width="9.5" style="11"/>
    <col min="2320" max="2320" width="11.09765625" style="11" customWidth="1"/>
    <col min="2321" max="2575" width="9.5" style="11"/>
    <col min="2576" max="2576" width="11.09765625" style="11" customWidth="1"/>
    <col min="2577" max="2831" width="9.5" style="11"/>
    <col min="2832" max="2832" width="11.09765625" style="11" customWidth="1"/>
    <col min="2833" max="3087" width="9.5" style="11"/>
    <col min="3088" max="3088" width="11.09765625" style="11" customWidth="1"/>
    <col min="3089" max="3343" width="9.5" style="11"/>
    <col min="3344" max="3344" width="11.09765625" style="11" customWidth="1"/>
    <col min="3345" max="3599" width="9.5" style="11"/>
    <col min="3600" max="3600" width="11.09765625" style="11" customWidth="1"/>
    <col min="3601" max="3855" width="9.5" style="11"/>
    <col min="3856" max="3856" width="11.09765625" style="11" customWidth="1"/>
    <col min="3857" max="4111" width="9.5" style="11"/>
    <col min="4112" max="4112" width="11.09765625" style="11" customWidth="1"/>
    <col min="4113" max="4367" width="9.5" style="11"/>
    <col min="4368" max="4368" width="11.09765625" style="11" customWidth="1"/>
    <col min="4369" max="4623" width="9.5" style="11"/>
    <col min="4624" max="4624" width="11.09765625" style="11" customWidth="1"/>
    <col min="4625" max="4879" width="9.5" style="11"/>
    <col min="4880" max="4880" width="11.09765625" style="11" customWidth="1"/>
    <col min="4881" max="5135" width="9.5" style="11"/>
    <col min="5136" max="5136" width="11.09765625" style="11" customWidth="1"/>
    <col min="5137" max="5391" width="9.5" style="11"/>
    <col min="5392" max="5392" width="11.09765625" style="11" customWidth="1"/>
    <col min="5393" max="5647" width="9.5" style="11"/>
    <col min="5648" max="5648" width="11.09765625" style="11" customWidth="1"/>
    <col min="5649" max="5903" width="9.5" style="11"/>
    <col min="5904" max="5904" width="11.09765625" style="11" customWidth="1"/>
    <col min="5905" max="6159" width="9.5" style="11"/>
    <col min="6160" max="6160" width="11.09765625" style="11" customWidth="1"/>
    <col min="6161" max="6415" width="9.5" style="11"/>
    <col min="6416" max="6416" width="11.09765625" style="11" customWidth="1"/>
    <col min="6417" max="6671" width="9.5" style="11"/>
    <col min="6672" max="6672" width="11.09765625" style="11" customWidth="1"/>
    <col min="6673" max="6927" width="9.5" style="11"/>
    <col min="6928" max="6928" width="11.09765625" style="11" customWidth="1"/>
    <col min="6929" max="7183" width="9.5" style="11"/>
    <col min="7184" max="7184" width="11.09765625" style="11" customWidth="1"/>
    <col min="7185" max="7439" width="9.5" style="11"/>
    <col min="7440" max="7440" width="11.09765625" style="11" customWidth="1"/>
    <col min="7441" max="7695" width="9.5" style="11"/>
    <col min="7696" max="7696" width="11.09765625" style="11" customWidth="1"/>
    <col min="7697" max="7951" width="9.5" style="11"/>
    <col min="7952" max="7952" width="11.09765625" style="11" customWidth="1"/>
    <col min="7953" max="8207" width="9.5" style="11"/>
    <col min="8208" max="8208" width="11.09765625" style="11" customWidth="1"/>
    <col min="8209" max="8463" width="9.5" style="11"/>
    <col min="8464" max="8464" width="11.09765625" style="11" customWidth="1"/>
    <col min="8465" max="8719" width="9.5" style="11"/>
    <col min="8720" max="8720" width="11.09765625" style="11" customWidth="1"/>
    <col min="8721" max="8975" width="9.5" style="11"/>
    <col min="8976" max="8976" width="11.09765625" style="11" customWidth="1"/>
    <col min="8977" max="9231" width="9.5" style="11"/>
    <col min="9232" max="9232" width="11.09765625" style="11" customWidth="1"/>
    <col min="9233" max="9487" width="9.5" style="11"/>
    <col min="9488" max="9488" width="11.09765625" style="11" customWidth="1"/>
    <col min="9489" max="9743" width="9.5" style="11"/>
    <col min="9744" max="9744" width="11.09765625" style="11" customWidth="1"/>
    <col min="9745" max="9999" width="9.5" style="11"/>
    <col min="10000" max="10000" width="11.09765625" style="11" customWidth="1"/>
    <col min="10001" max="10255" width="9.5" style="11"/>
    <col min="10256" max="10256" width="11.09765625" style="11" customWidth="1"/>
    <col min="10257" max="10511" width="9.5" style="11"/>
    <col min="10512" max="10512" width="11.09765625" style="11" customWidth="1"/>
    <col min="10513" max="10767" width="9.5" style="11"/>
    <col min="10768" max="10768" width="11.09765625" style="11" customWidth="1"/>
    <col min="10769" max="11023" width="9.5" style="11"/>
    <col min="11024" max="11024" width="11.09765625" style="11" customWidth="1"/>
    <col min="11025" max="11279" width="9.5" style="11"/>
    <col min="11280" max="11280" width="11.09765625" style="11" customWidth="1"/>
    <col min="11281" max="11535" width="9.5" style="11"/>
    <col min="11536" max="11536" width="11.09765625" style="11" customWidth="1"/>
    <col min="11537" max="11791" width="9.5" style="11"/>
    <col min="11792" max="11792" width="11.09765625" style="11" customWidth="1"/>
    <col min="11793" max="12047" width="9.5" style="11"/>
    <col min="12048" max="12048" width="11.09765625" style="11" customWidth="1"/>
    <col min="12049" max="12303" width="9.5" style="11"/>
    <col min="12304" max="12304" width="11.09765625" style="11" customWidth="1"/>
    <col min="12305" max="12559" width="9.5" style="11"/>
    <col min="12560" max="12560" width="11.09765625" style="11" customWidth="1"/>
    <col min="12561" max="12815" width="9.5" style="11"/>
    <col min="12816" max="12816" width="11.09765625" style="11" customWidth="1"/>
    <col min="12817" max="13071" width="9.5" style="11"/>
    <col min="13072" max="13072" width="11.09765625" style="11" customWidth="1"/>
    <col min="13073" max="13327" width="9.5" style="11"/>
    <col min="13328" max="13328" width="11.09765625" style="11" customWidth="1"/>
    <col min="13329" max="13583" width="9.5" style="11"/>
    <col min="13584" max="13584" width="11.09765625" style="11" customWidth="1"/>
    <col min="13585" max="13839" width="9.5" style="11"/>
    <col min="13840" max="13840" width="11.09765625" style="11" customWidth="1"/>
    <col min="13841" max="14095" width="9.5" style="11"/>
    <col min="14096" max="14096" width="11.09765625" style="11" customWidth="1"/>
    <col min="14097" max="14351" width="9.5" style="11"/>
    <col min="14352" max="14352" width="11.09765625" style="11" customWidth="1"/>
    <col min="14353" max="14607" width="9.5" style="11"/>
    <col min="14608" max="14608" width="11.09765625" style="11" customWidth="1"/>
    <col min="14609" max="14863" width="9.5" style="11"/>
    <col min="14864" max="14864" width="11.09765625" style="11" customWidth="1"/>
    <col min="14865" max="15119" width="9.5" style="11"/>
    <col min="15120" max="15120" width="11.09765625" style="11" customWidth="1"/>
    <col min="15121" max="15375" width="9.5" style="11"/>
    <col min="15376" max="15376" width="11.09765625" style="11" customWidth="1"/>
    <col min="15377" max="15631" width="9.5" style="11"/>
    <col min="15632" max="15632" width="11.09765625" style="11" customWidth="1"/>
    <col min="15633" max="15887" width="9.5" style="11"/>
    <col min="15888" max="15888" width="11.09765625" style="11" customWidth="1"/>
    <col min="15889" max="16143" width="9.5" style="11"/>
    <col min="16144" max="16144" width="11.09765625" style="11" customWidth="1"/>
    <col min="16145" max="16384" width="9.5" style="11"/>
  </cols>
  <sheetData>
    <row r="1" spans="1:21" ht="30" customHeight="1">
      <c r="A1" s="1" t="s">
        <v>307</v>
      </c>
      <c r="J1" s="3"/>
      <c r="T1" s="3"/>
      <c r="U1" s="3"/>
    </row>
    <row r="2" spans="1:21" ht="11.4" thickBot="1">
      <c r="A2" s="209"/>
      <c r="J2" s="3"/>
      <c r="L2" s="3" t="s">
        <v>308</v>
      </c>
      <c r="T2" s="3"/>
    </row>
    <row r="3" spans="1:21" ht="18.75" customHeight="1">
      <c r="A3" s="210" t="s">
        <v>309</v>
      </c>
      <c r="B3" s="211" t="s">
        <v>310</v>
      </c>
      <c r="C3" s="211" t="s">
        <v>311</v>
      </c>
      <c r="D3" s="212" t="s">
        <v>312</v>
      </c>
      <c r="E3" s="211" t="s">
        <v>313</v>
      </c>
      <c r="F3" s="211" t="s">
        <v>314</v>
      </c>
      <c r="G3" s="212" t="s">
        <v>315</v>
      </c>
      <c r="H3" s="212" t="s">
        <v>316</v>
      </c>
      <c r="I3" s="212" t="s">
        <v>68</v>
      </c>
      <c r="J3" s="212" t="s">
        <v>231</v>
      </c>
      <c r="K3" s="212" t="s">
        <v>317</v>
      </c>
      <c r="L3" s="212" t="s">
        <v>318</v>
      </c>
    </row>
    <row r="4" spans="1:21" ht="18.75" customHeight="1">
      <c r="A4" s="213" t="s">
        <v>321</v>
      </c>
      <c r="B4" s="214"/>
      <c r="C4" s="214"/>
      <c r="D4" s="215"/>
      <c r="E4" s="216"/>
      <c r="F4" s="216"/>
      <c r="G4" s="217"/>
      <c r="H4" s="217"/>
      <c r="I4" s="217"/>
      <c r="J4" s="217"/>
      <c r="K4" s="217"/>
      <c r="L4" s="217"/>
    </row>
    <row r="5" spans="1:21" ht="18.75" customHeight="1">
      <c r="A5" s="218"/>
      <c r="B5" s="86" t="s">
        <v>229</v>
      </c>
      <c r="C5" s="39" t="s">
        <v>229</v>
      </c>
      <c r="D5" s="39" t="s">
        <v>229</v>
      </c>
      <c r="E5" s="39" t="s">
        <v>229</v>
      </c>
      <c r="F5" s="39" t="s">
        <v>229</v>
      </c>
      <c r="G5" s="39" t="s">
        <v>229</v>
      </c>
      <c r="H5" s="39" t="s">
        <v>229</v>
      </c>
      <c r="I5" s="39" t="s">
        <v>229</v>
      </c>
      <c r="J5" s="39" t="s">
        <v>229</v>
      </c>
      <c r="K5" s="39" t="s">
        <v>229</v>
      </c>
      <c r="L5" s="39" t="s">
        <v>229</v>
      </c>
    </row>
    <row r="6" spans="1:21" ht="18.75" customHeight="1">
      <c r="A6" s="40" t="s">
        <v>322</v>
      </c>
      <c r="B6" s="219">
        <v>596</v>
      </c>
      <c r="C6" s="219">
        <v>527</v>
      </c>
      <c r="D6" s="219">
        <v>481</v>
      </c>
      <c r="E6" s="219">
        <v>472</v>
      </c>
      <c r="F6" s="219">
        <v>553</v>
      </c>
      <c r="G6" s="219">
        <v>489</v>
      </c>
      <c r="H6" s="219">
        <v>502</v>
      </c>
      <c r="I6" s="219">
        <v>486</v>
      </c>
      <c r="J6" s="219">
        <v>474</v>
      </c>
      <c r="K6" s="219">
        <v>423</v>
      </c>
      <c r="L6" s="219">
        <v>418</v>
      </c>
    </row>
    <row r="7" spans="1:21" ht="18.75" customHeight="1">
      <c r="A7" s="40" t="s">
        <v>323</v>
      </c>
      <c r="B7" s="219">
        <v>126</v>
      </c>
      <c r="C7" s="219">
        <v>126</v>
      </c>
      <c r="D7" s="219">
        <v>122</v>
      </c>
      <c r="E7" s="219">
        <v>125</v>
      </c>
      <c r="F7" s="219">
        <v>125</v>
      </c>
      <c r="G7" s="219">
        <v>120</v>
      </c>
      <c r="H7" s="219">
        <v>115</v>
      </c>
      <c r="I7" s="219">
        <v>102</v>
      </c>
      <c r="J7" s="219">
        <v>100</v>
      </c>
      <c r="K7" s="219">
        <v>97</v>
      </c>
      <c r="L7" s="219">
        <v>97</v>
      </c>
    </row>
    <row r="8" spans="1:21" ht="18.75" customHeight="1">
      <c r="A8" s="40" t="s">
        <v>324</v>
      </c>
      <c r="B8" s="219">
        <v>72</v>
      </c>
      <c r="C8" s="219">
        <v>78</v>
      </c>
      <c r="D8" s="219">
        <v>90</v>
      </c>
      <c r="E8" s="219">
        <v>98</v>
      </c>
      <c r="F8" s="219">
        <v>105</v>
      </c>
      <c r="G8" s="219">
        <v>108</v>
      </c>
      <c r="H8" s="219">
        <v>121</v>
      </c>
      <c r="I8" s="219">
        <v>126</v>
      </c>
      <c r="J8" s="219">
        <v>118</v>
      </c>
      <c r="K8" s="219">
        <v>90</v>
      </c>
      <c r="L8" s="219">
        <v>69</v>
      </c>
    </row>
    <row r="9" spans="1:21" ht="18.75" customHeight="1">
      <c r="A9" s="40" t="s">
        <v>325</v>
      </c>
      <c r="B9" s="219">
        <v>204</v>
      </c>
      <c r="C9" s="219">
        <v>164</v>
      </c>
      <c r="D9" s="219">
        <v>134</v>
      </c>
      <c r="E9" s="219">
        <v>115</v>
      </c>
      <c r="F9" s="219">
        <v>160</v>
      </c>
      <c r="G9" s="219">
        <v>84</v>
      </c>
      <c r="H9" s="219">
        <v>85</v>
      </c>
      <c r="I9" s="219">
        <v>81</v>
      </c>
      <c r="J9" s="219">
        <v>68</v>
      </c>
      <c r="K9" s="219">
        <v>32</v>
      </c>
      <c r="L9" s="219">
        <v>23</v>
      </c>
    </row>
    <row r="10" spans="1:21" ht="18.75" customHeight="1">
      <c r="A10" s="40" t="s">
        <v>326</v>
      </c>
      <c r="B10" s="219">
        <v>35</v>
      </c>
      <c r="C10" s="219">
        <v>35</v>
      </c>
      <c r="D10" s="219">
        <v>43</v>
      </c>
      <c r="E10" s="219">
        <v>45</v>
      </c>
      <c r="F10" s="219">
        <v>45</v>
      </c>
      <c r="G10" s="219">
        <v>44</v>
      </c>
      <c r="H10" s="219">
        <v>42</v>
      </c>
      <c r="I10" s="219">
        <v>43</v>
      </c>
      <c r="J10" s="219">
        <v>45</v>
      </c>
      <c r="K10" s="219">
        <v>44</v>
      </c>
      <c r="L10" s="219">
        <v>43</v>
      </c>
    </row>
    <row r="11" spans="1:21" ht="18.75" customHeight="1">
      <c r="A11" s="40" t="s">
        <v>327</v>
      </c>
      <c r="B11" s="219">
        <v>138</v>
      </c>
      <c r="C11" s="219">
        <v>104</v>
      </c>
      <c r="D11" s="219">
        <v>65</v>
      </c>
      <c r="E11" s="219">
        <v>63</v>
      </c>
      <c r="F11" s="219">
        <v>70</v>
      </c>
      <c r="G11" s="219">
        <v>74</v>
      </c>
      <c r="H11" s="219">
        <v>77</v>
      </c>
      <c r="I11" s="219">
        <v>75</v>
      </c>
      <c r="J11" s="219">
        <v>83</v>
      </c>
      <c r="K11" s="219">
        <v>78</v>
      </c>
      <c r="L11" s="219">
        <v>76</v>
      </c>
    </row>
    <row r="12" spans="1:21" ht="18.75" customHeight="1" thickBot="1">
      <c r="A12" s="220" t="s">
        <v>33</v>
      </c>
      <c r="B12" s="221">
        <v>21</v>
      </c>
      <c r="C12" s="221">
        <v>20</v>
      </c>
      <c r="D12" s="221">
        <v>27</v>
      </c>
      <c r="E12" s="221">
        <v>26</v>
      </c>
      <c r="F12" s="221">
        <v>48</v>
      </c>
      <c r="G12" s="221">
        <v>59</v>
      </c>
      <c r="H12" s="221">
        <v>62</v>
      </c>
      <c r="I12" s="221">
        <v>102</v>
      </c>
      <c r="J12" s="221">
        <v>60</v>
      </c>
      <c r="K12" s="221">
        <v>97</v>
      </c>
      <c r="L12" s="221">
        <v>110</v>
      </c>
    </row>
    <row r="13" spans="1:21" ht="18.75" customHeight="1" thickBot="1">
      <c r="B13" s="222"/>
      <c r="C13" s="222"/>
      <c r="D13" s="222"/>
      <c r="E13" s="222"/>
      <c r="F13" s="222"/>
      <c r="G13" s="222"/>
      <c r="H13" s="222"/>
      <c r="I13" s="222"/>
      <c r="J13" s="222"/>
      <c r="K13" s="222"/>
      <c r="L13" s="222"/>
      <c r="M13" s="222"/>
      <c r="N13" s="222"/>
      <c r="O13" s="222"/>
      <c r="P13" s="222"/>
      <c r="Q13" s="222"/>
      <c r="R13" s="222"/>
      <c r="S13" s="222"/>
      <c r="T13" s="222"/>
      <c r="U13" s="222"/>
    </row>
    <row r="14" spans="1:21" ht="18.75" customHeight="1">
      <c r="A14" s="210" t="s">
        <v>309</v>
      </c>
      <c r="B14" s="2148" t="s">
        <v>319</v>
      </c>
      <c r="C14" s="2148" t="s">
        <v>320</v>
      </c>
      <c r="D14" s="2148" t="s">
        <v>40</v>
      </c>
      <c r="E14" s="2148" t="s">
        <v>41</v>
      </c>
      <c r="F14" s="2148" t="s">
        <v>42</v>
      </c>
      <c r="G14" s="2148" t="s">
        <v>43</v>
      </c>
      <c r="H14" s="2148" t="s">
        <v>44</v>
      </c>
      <c r="I14" s="2148" t="s">
        <v>45</v>
      </c>
      <c r="J14" s="2148" t="s">
        <v>46</v>
      </c>
      <c r="K14" s="1144"/>
    </row>
    <row r="15" spans="1:21" ht="18.75" customHeight="1">
      <c r="A15" s="213" t="s">
        <v>321</v>
      </c>
      <c r="B15" s="217"/>
      <c r="C15" s="217"/>
      <c r="D15" s="217"/>
      <c r="E15" s="217"/>
      <c r="F15" s="217"/>
      <c r="G15" s="217"/>
      <c r="H15" s="217"/>
      <c r="I15" s="217"/>
      <c r="J15" s="217"/>
      <c r="K15" s="1145"/>
    </row>
    <row r="16" spans="1:21" ht="18.75" customHeight="1">
      <c r="A16" s="218"/>
      <c r="B16" s="2157" t="s">
        <v>229</v>
      </c>
      <c r="C16" s="2157" t="s">
        <v>229</v>
      </c>
      <c r="D16" s="2157" t="s">
        <v>167</v>
      </c>
      <c r="E16" s="2157" t="s">
        <v>167</v>
      </c>
      <c r="F16" s="2157" t="s">
        <v>167</v>
      </c>
      <c r="G16" s="2157" t="s">
        <v>229</v>
      </c>
      <c r="H16" s="2157" t="s">
        <v>167</v>
      </c>
      <c r="I16" s="2157" t="s">
        <v>167</v>
      </c>
      <c r="J16" s="2157" t="s">
        <v>229</v>
      </c>
      <c r="K16" s="1146"/>
    </row>
    <row r="17" spans="1:11" ht="18.75" customHeight="1">
      <c r="A17" s="40" t="s">
        <v>322</v>
      </c>
      <c r="B17" s="219">
        <v>444</v>
      </c>
      <c r="C17" s="219">
        <v>466</v>
      </c>
      <c r="D17" s="219">
        <v>473</v>
      </c>
      <c r="E17" s="219">
        <v>506</v>
      </c>
      <c r="F17" s="219">
        <v>538</v>
      </c>
      <c r="G17" s="219">
        <v>547</v>
      </c>
      <c r="H17" s="219">
        <v>540</v>
      </c>
      <c r="I17" s="219">
        <v>617</v>
      </c>
      <c r="J17" s="219">
        <v>673</v>
      </c>
      <c r="K17" s="1147"/>
    </row>
    <row r="18" spans="1:11" ht="18.75" customHeight="1">
      <c r="A18" s="40" t="s">
        <v>323</v>
      </c>
      <c r="B18" s="219">
        <v>89</v>
      </c>
      <c r="C18" s="219">
        <v>79</v>
      </c>
      <c r="D18" s="219">
        <v>69</v>
      </c>
      <c r="E18" s="219">
        <v>66</v>
      </c>
      <c r="F18" s="219">
        <v>68</v>
      </c>
      <c r="G18" s="219">
        <v>62</v>
      </c>
      <c r="H18" s="219">
        <v>61</v>
      </c>
      <c r="I18" s="219">
        <v>63</v>
      </c>
      <c r="J18" s="219">
        <v>62</v>
      </c>
      <c r="K18" s="1147"/>
    </row>
    <row r="19" spans="1:11" ht="18.75" customHeight="1">
      <c r="A19" s="40" t="s">
        <v>324</v>
      </c>
      <c r="B19" s="219">
        <v>58</v>
      </c>
      <c r="C19" s="219">
        <v>62</v>
      </c>
      <c r="D19" s="219">
        <v>65</v>
      </c>
      <c r="E19" s="219">
        <v>63</v>
      </c>
      <c r="F19" s="219">
        <v>56</v>
      </c>
      <c r="G19" s="219">
        <v>49</v>
      </c>
      <c r="H19" s="219">
        <v>47</v>
      </c>
      <c r="I19" s="219">
        <v>49</v>
      </c>
      <c r="J19" s="219">
        <v>55</v>
      </c>
      <c r="K19" s="1147"/>
    </row>
    <row r="20" spans="1:11" ht="18.75" customHeight="1">
      <c r="A20" s="40" t="s">
        <v>325</v>
      </c>
      <c r="B20" s="219">
        <v>22</v>
      </c>
      <c r="C20" s="219">
        <v>43</v>
      </c>
      <c r="D20" s="219">
        <v>45</v>
      </c>
      <c r="E20" s="219">
        <v>50</v>
      </c>
      <c r="F20" s="219">
        <v>54</v>
      </c>
      <c r="G20" s="219">
        <v>69</v>
      </c>
      <c r="H20" s="219">
        <v>63</v>
      </c>
      <c r="I20" s="219">
        <v>58</v>
      </c>
      <c r="J20" s="219">
        <v>44</v>
      </c>
      <c r="K20" s="1147"/>
    </row>
    <row r="21" spans="1:11" ht="18.75" customHeight="1">
      <c r="A21" s="40" t="s">
        <v>326</v>
      </c>
      <c r="B21" s="219">
        <v>42</v>
      </c>
      <c r="C21" s="219">
        <v>40</v>
      </c>
      <c r="D21" s="219">
        <v>42</v>
      </c>
      <c r="E21" s="219">
        <v>42</v>
      </c>
      <c r="F21" s="219">
        <v>44</v>
      </c>
      <c r="G21" s="219">
        <v>44</v>
      </c>
      <c r="H21" s="219">
        <v>42</v>
      </c>
      <c r="I21" s="219">
        <v>41</v>
      </c>
      <c r="J21" s="219">
        <v>42</v>
      </c>
      <c r="K21" s="1147"/>
    </row>
    <row r="22" spans="1:11" ht="18.75" customHeight="1">
      <c r="A22" s="40" t="s">
        <v>327</v>
      </c>
      <c r="B22" s="219">
        <v>80</v>
      </c>
      <c r="C22" s="219">
        <v>83</v>
      </c>
      <c r="D22" s="219">
        <v>81</v>
      </c>
      <c r="E22" s="219">
        <v>83</v>
      </c>
      <c r="F22" s="219">
        <v>79</v>
      </c>
      <c r="G22" s="219">
        <v>78</v>
      </c>
      <c r="H22" s="219">
        <v>76</v>
      </c>
      <c r="I22" s="219">
        <v>78</v>
      </c>
      <c r="J22" s="219">
        <v>81</v>
      </c>
      <c r="K22" s="1147"/>
    </row>
    <row r="23" spans="1:11" ht="18.75" customHeight="1" thickBot="1">
      <c r="A23" s="220" t="s">
        <v>33</v>
      </c>
      <c r="B23" s="221">
        <v>153</v>
      </c>
      <c r="C23" s="221">
        <v>159</v>
      </c>
      <c r="D23" s="221">
        <v>171</v>
      </c>
      <c r="E23" s="221">
        <v>202</v>
      </c>
      <c r="F23" s="221">
        <v>237</v>
      </c>
      <c r="G23" s="221">
        <v>245</v>
      </c>
      <c r="H23" s="221">
        <v>251</v>
      </c>
      <c r="I23" s="221">
        <v>328</v>
      </c>
      <c r="J23" s="221">
        <v>389</v>
      </c>
      <c r="K23" s="1148"/>
    </row>
    <row r="24" spans="1:11" ht="18.75" customHeight="1">
      <c r="A24" s="11" t="s">
        <v>328</v>
      </c>
    </row>
  </sheetData>
  <phoneticPr fontId="4"/>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DF456-A965-418E-80FA-C52B834C48E2}">
  <sheetPr codeName="Sheet19"/>
  <dimension ref="A1:I21"/>
  <sheetViews>
    <sheetView showGridLines="0" zoomScaleNormal="100" workbookViewId="0"/>
  </sheetViews>
  <sheetFormatPr defaultRowHeight="18.75" customHeight="1"/>
  <cols>
    <col min="1" max="1" width="7.59765625" style="82" customWidth="1"/>
    <col min="2" max="9" width="9.59765625" style="82" customWidth="1"/>
    <col min="10" max="10" width="6" style="82" customWidth="1"/>
    <col min="11" max="256" width="9" style="82"/>
    <col min="257" max="257" width="7.59765625" style="82" customWidth="1"/>
    <col min="258" max="265" width="9.59765625" style="82" customWidth="1"/>
    <col min="266" max="266" width="6" style="82" customWidth="1"/>
    <col min="267" max="512" width="9" style="82"/>
    <col min="513" max="513" width="7.59765625" style="82" customWidth="1"/>
    <col min="514" max="521" width="9.59765625" style="82" customWidth="1"/>
    <col min="522" max="522" width="6" style="82" customWidth="1"/>
    <col min="523" max="768" width="9" style="82"/>
    <col min="769" max="769" width="7.59765625" style="82" customWidth="1"/>
    <col min="770" max="777" width="9.59765625" style="82" customWidth="1"/>
    <col min="778" max="778" width="6" style="82" customWidth="1"/>
    <col min="779" max="1024" width="9" style="82"/>
    <col min="1025" max="1025" width="7.59765625" style="82" customWidth="1"/>
    <col min="1026" max="1033" width="9.59765625" style="82" customWidth="1"/>
    <col min="1034" max="1034" width="6" style="82" customWidth="1"/>
    <col min="1035" max="1280" width="9" style="82"/>
    <col min="1281" max="1281" width="7.59765625" style="82" customWidth="1"/>
    <col min="1282" max="1289" width="9.59765625" style="82" customWidth="1"/>
    <col min="1290" max="1290" width="6" style="82" customWidth="1"/>
    <col min="1291" max="1536" width="9" style="82"/>
    <col min="1537" max="1537" width="7.59765625" style="82" customWidth="1"/>
    <col min="1538" max="1545" width="9.59765625" style="82" customWidth="1"/>
    <col min="1546" max="1546" width="6" style="82" customWidth="1"/>
    <col min="1547" max="1792" width="9" style="82"/>
    <col min="1793" max="1793" width="7.59765625" style="82" customWidth="1"/>
    <col min="1794" max="1801" width="9.59765625" style="82" customWidth="1"/>
    <col min="1802" max="1802" width="6" style="82" customWidth="1"/>
    <col min="1803" max="2048" width="9" style="82"/>
    <col min="2049" max="2049" width="7.59765625" style="82" customWidth="1"/>
    <col min="2050" max="2057" width="9.59765625" style="82" customWidth="1"/>
    <col min="2058" max="2058" width="6" style="82" customWidth="1"/>
    <col min="2059" max="2304" width="9" style="82"/>
    <col min="2305" max="2305" width="7.59765625" style="82" customWidth="1"/>
    <col min="2306" max="2313" width="9.59765625" style="82" customWidth="1"/>
    <col min="2314" max="2314" width="6" style="82" customWidth="1"/>
    <col min="2315" max="2560" width="9" style="82"/>
    <col min="2561" max="2561" width="7.59765625" style="82" customWidth="1"/>
    <col min="2562" max="2569" width="9.59765625" style="82" customWidth="1"/>
    <col min="2570" max="2570" width="6" style="82" customWidth="1"/>
    <col min="2571" max="2816" width="9" style="82"/>
    <col min="2817" max="2817" width="7.59765625" style="82" customWidth="1"/>
    <col min="2818" max="2825" width="9.59765625" style="82" customWidth="1"/>
    <col min="2826" max="2826" width="6" style="82" customWidth="1"/>
    <col min="2827" max="3072" width="9" style="82"/>
    <col min="3073" max="3073" width="7.59765625" style="82" customWidth="1"/>
    <col min="3074" max="3081" width="9.59765625" style="82" customWidth="1"/>
    <col min="3082" max="3082" width="6" style="82" customWidth="1"/>
    <col min="3083" max="3328" width="9" style="82"/>
    <col min="3329" max="3329" width="7.59765625" style="82" customWidth="1"/>
    <col min="3330" max="3337" width="9.59765625" style="82" customWidth="1"/>
    <col min="3338" max="3338" width="6" style="82" customWidth="1"/>
    <col min="3339" max="3584" width="9" style="82"/>
    <col min="3585" max="3585" width="7.59765625" style="82" customWidth="1"/>
    <col min="3586" max="3593" width="9.59765625" style="82" customWidth="1"/>
    <col min="3594" max="3594" width="6" style="82" customWidth="1"/>
    <col min="3595" max="3840" width="9" style="82"/>
    <col min="3841" max="3841" width="7.59765625" style="82" customWidth="1"/>
    <col min="3842" max="3849" width="9.59765625" style="82" customWidth="1"/>
    <col min="3850" max="3850" width="6" style="82" customWidth="1"/>
    <col min="3851" max="4096" width="9" style="82"/>
    <col min="4097" max="4097" width="7.59765625" style="82" customWidth="1"/>
    <col min="4098" max="4105" width="9.59765625" style="82" customWidth="1"/>
    <col min="4106" max="4106" width="6" style="82" customWidth="1"/>
    <col min="4107" max="4352" width="9" style="82"/>
    <col min="4353" max="4353" width="7.59765625" style="82" customWidth="1"/>
    <col min="4354" max="4361" width="9.59765625" style="82" customWidth="1"/>
    <col min="4362" max="4362" width="6" style="82" customWidth="1"/>
    <col min="4363" max="4608" width="9" style="82"/>
    <col min="4609" max="4609" width="7.59765625" style="82" customWidth="1"/>
    <col min="4610" max="4617" width="9.59765625" style="82" customWidth="1"/>
    <col min="4618" max="4618" width="6" style="82" customWidth="1"/>
    <col min="4619" max="4864" width="9" style="82"/>
    <col min="4865" max="4865" width="7.59765625" style="82" customWidth="1"/>
    <col min="4866" max="4873" width="9.59765625" style="82" customWidth="1"/>
    <col min="4874" max="4874" width="6" style="82" customWidth="1"/>
    <col min="4875" max="5120" width="9" style="82"/>
    <col min="5121" max="5121" width="7.59765625" style="82" customWidth="1"/>
    <col min="5122" max="5129" width="9.59765625" style="82" customWidth="1"/>
    <col min="5130" max="5130" width="6" style="82" customWidth="1"/>
    <col min="5131" max="5376" width="9" style="82"/>
    <col min="5377" max="5377" width="7.59765625" style="82" customWidth="1"/>
    <col min="5378" max="5385" width="9.59765625" style="82" customWidth="1"/>
    <col min="5386" max="5386" width="6" style="82" customWidth="1"/>
    <col min="5387" max="5632" width="9" style="82"/>
    <col min="5633" max="5633" width="7.59765625" style="82" customWidth="1"/>
    <col min="5634" max="5641" width="9.59765625" style="82" customWidth="1"/>
    <col min="5642" max="5642" width="6" style="82" customWidth="1"/>
    <col min="5643" max="5888" width="9" style="82"/>
    <col min="5889" max="5889" width="7.59765625" style="82" customWidth="1"/>
    <col min="5890" max="5897" width="9.59765625" style="82" customWidth="1"/>
    <col min="5898" max="5898" width="6" style="82" customWidth="1"/>
    <col min="5899" max="6144" width="9" style="82"/>
    <col min="6145" max="6145" width="7.59765625" style="82" customWidth="1"/>
    <col min="6146" max="6153" width="9.59765625" style="82" customWidth="1"/>
    <col min="6154" max="6154" width="6" style="82" customWidth="1"/>
    <col min="6155" max="6400" width="9" style="82"/>
    <col min="6401" max="6401" width="7.59765625" style="82" customWidth="1"/>
    <col min="6402" max="6409" width="9.59765625" style="82" customWidth="1"/>
    <col min="6410" max="6410" width="6" style="82" customWidth="1"/>
    <col min="6411" max="6656" width="9" style="82"/>
    <col min="6657" max="6657" width="7.59765625" style="82" customWidth="1"/>
    <col min="6658" max="6665" width="9.59765625" style="82" customWidth="1"/>
    <col min="6666" max="6666" width="6" style="82" customWidth="1"/>
    <col min="6667" max="6912" width="9" style="82"/>
    <col min="6913" max="6913" width="7.59765625" style="82" customWidth="1"/>
    <col min="6914" max="6921" width="9.59765625" style="82" customWidth="1"/>
    <col min="6922" max="6922" width="6" style="82" customWidth="1"/>
    <col min="6923" max="7168" width="9" style="82"/>
    <col min="7169" max="7169" width="7.59765625" style="82" customWidth="1"/>
    <col min="7170" max="7177" width="9.59765625" style="82" customWidth="1"/>
    <col min="7178" max="7178" width="6" style="82" customWidth="1"/>
    <col min="7179" max="7424" width="9" style="82"/>
    <col min="7425" max="7425" width="7.59765625" style="82" customWidth="1"/>
    <col min="7426" max="7433" width="9.59765625" style="82" customWidth="1"/>
    <col min="7434" max="7434" width="6" style="82" customWidth="1"/>
    <col min="7435" max="7680" width="9" style="82"/>
    <col min="7681" max="7681" width="7.59765625" style="82" customWidth="1"/>
    <col min="7682" max="7689" width="9.59765625" style="82" customWidth="1"/>
    <col min="7690" max="7690" width="6" style="82" customWidth="1"/>
    <col min="7691" max="7936" width="9" style="82"/>
    <col min="7937" max="7937" width="7.59765625" style="82" customWidth="1"/>
    <col min="7938" max="7945" width="9.59765625" style="82" customWidth="1"/>
    <col min="7946" max="7946" width="6" style="82" customWidth="1"/>
    <col min="7947" max="8192" width="9" style="82"/>
    <col min="8193" max="8193" width="7.59765625" style="82" customWidth="1"/>
    <col min="8194" max="8201" width="9.59765625" style="82" customWidth="1"/>
    <col min="8202" max="8202" width="6" style="82" customWidth="1"/>
    <col min="8203" max="8448" width="9" style="82"/>
    <col min="8449" max="8449" width="7.59765625" style="82" customWidth="1"/>
    <col min="8450" max="8457" width="9.59765625" style="82" customWidth="1"/>
    <col min="8458" max="8458" width="6" style="82" customWidth="1"/>
    <col min="8459" max="8704" width="9" style="82"/>
    <col min="8705" max="8705" width="7.59765625" style="82" customWidth="1"/>
    <col min="8706" max="8713" width="9.59765625" style="82" customWidth="1"/>
    <col min="8714" max="8714" width="6" style="82" customWidth="1"/>
    <col min="8715" max="8960" width="9" style="82"/>
    <col min="8961" max="8961" width="7.59765625" style="82" customWidth="1"/>
    <col min="8962" max="8969" width="9.59765625" style="82" customWidth="1"/>
    <col min="8970" max="8970" width="6" style="82" customWidth="1"/>
    <col min="8971" max="9216" width="9" style="82"/>
    <col min="9217" max="9217" width="7.59765625" style="82" customWidth="1"/>
    <col min="9218" max="9225" width="9.59765625" style="82" customWidth="1"/>
    <col min="9226" max="9226" width="6" style="82" customWidth="1"/>
    <col min="9227" max="9472" width="9" style="82"/>
    <col min="9473" max="9473" width="7.59765625" style="82" customWidth="1"/>
    <col min="9474" max="9481" width="9.59765625" style="82" customWidth="1"/>
    <col min="9482" max="9482" width="6" style="82" customWidth="1"/>
    <col min="9483" max="9728" width="9" style="82"/>
    <col min="9729" max="9729" width="7.59765625" style="82" customWidth="1"/>
    <col min="9730" max="9737" width="9.59765625" style="82" customWidth="1"/>
    <col min="9738" max="9738" width="6" style="82" customWidth="1"/>
    <col min="9739" max="9984" width="9" style="82"/>
    <col min="9985" max="9985" width="7.59765625" style="82" customWidth="1"/>
    <col min="9986" max="9993" width="9.59765625" style="82" customWidth="1"/>
    <col min="9994" max="9994" width="6" style="82" customWidth="1"/>
    <col min="9995" max="10240" width="9" style="82"/>
    <col min="10241" max="10241" width="7.59765625" style="82" customWidth="1"/>
    <col min="10242" max="10249" width="9.59765625" style="82" customWidth="1"/>
    <col min="10250" max="10250" width="6" style="82" customWidth="1"/>
    <col min="10251" max="10496" width="9" style="82"/>
    <col min="10497" max="10497" width="7.59765625" style="82" customWidth="1"/>
    <col min="10498" max="10505" width="9.59765625" style="82" customWidth="1"/>
    <col min="10506" max="10506" width="6" style="82" customWidth="1"/>
    <col min="10507" max="10752" width="9" style="82"/>
    <col min="10753" max="10753" width="7.59765625" style="82" customWidth="1"/>
    <col min="10754" max="10761" width="9.59765625" style="82" customWidth="1"/>
    <col min="10762" max="10762" width="6" style="82" customWidth="1"/>
    <col min="10763" max="11008" width="9" style="82"/>
    <col min="11009" max="11009" width="7.59765625" style="82" customWidth="1"/>
    <col min="11010" max="11017" width="9.59765625" style="82" customWidth="1"/>
    <col min="11018" max="11018" width="6" style="82" customWidth="1"/>
    <col min="11019" max="11264" width="9" style="82"/>
    <col min="11265" max="11265" width="7.59765625" style="82" customWidth="1"/>
    <col min="11266" max="11273" width="9.59765625" style="82" customWidth="1"/>
    <col min="11274" max="11274" width="6" style="82" customWidth="1"/>
    <col min="11275" max="11520" width="9" style="82"/>
    <col min="11521" max="11521" width="7.59765625" style="82" customWidth="1"/>
    <col min="11522" max="11529" width="9.59765625" style="82" customWidth="1"/>
    <col min="11530" max="11530" width="6" style="82" customWidth="1"/>
    <col min="11531" max="11776" width="9" style="82"/>
    <col min="11777" max="11777" width="7.59765625" style="82" customWidth="1"/>
    <col min="11778" max="11785" width="9.59765625" style="82" customWidth="1"/>
    <col min="11786" max="11786" width="6" style="82" customWidth="1"/>
    <col min="11787" max="12032" width="9" style="82"/>
    <col min="12033" max="12033" width="7.59765625" style="82" customWidth="1"/>
    <col min="12034" max="12041" width="9.59765625" style="82" customWidth="1"/>
    <col min="12042" max="12042" width="6" style="82" customWidth="1"/>
    <col min="12043" max="12288" width="9" style="82"/>
    <col min="12289" max="12289" width="7.59765625" style="82" customWidth="1"/>
    <col min="12290" max="12297" width="9.59765625" style="82" customWidth="1"/>
    <col min="12298" max="12298" width="6" style="82" customWidth="1"/>
    <col min="12299" max="12544" width="9" style="82"/>
    <col min="12545" max="12545" width="7.59765625" style="82" customWidth="1"/>
    <col min="12546" max="12553" width="9.59765625" style="82" customWidth="1"/>
    <col min="12554" max="12554" width="6" style="82" customWidth="1"/>
    <col min="12555" max="12800" width="9" style="82"/>
    <col min="12801" max="12801" width="7.59765625" style="82" customWidth="1"/>
    <col min="12802" max="12809" width="9.59765625" style="82" customWidth="1"/>
    <col min="12810" max="12810" width="6" style="82" customWidth="1"/>
    <col min="12811" max="13056" width="9" style="82"/>
    <col min="13057" max="13057" width="7.59765625" style="82" customWidth="1"/>
    <col min="13058" max="13065" width="9.59765625" style="82" customWidth="1"/>
    <col min="13066" max="13066" width="6" style="82" customWidth="1"/>
    <col min="13067" max="13312" width="9" style="82"/>
    <col min="13313" max="13313" width="7.59765625" style="82" customWidth="1"/>
    <col min="13314" max="13321" width="9.59765625" style="82" customWidth="1"/>
    <col min="13322" max="13322" width="6" style="82" customWidth="1"/>
    <col min="13323" max="13568" width="9" style="82"/>
    <col min="13569" max="13569" width="7.59765625" style="82" customWidth="1"/>
    <col min="13570" max="13577" width="9.59765625" style="82" customWidth="1"/>
    <col min="13578" max="13578" width="6" style="82" customWidth="1"/>
    <col min="13579" max="13824" width="9" style="82"/>
    <col min="13825" max="13825" width="7.59765625" style="82" customWidth="1"/>
    <col min="13826" max="13833" width="9.59765625" style="82" customWidth="1"/>
    <col min="13834" max="13834" width="6" style="82" customWidth="1"/>
    <col min="13835" max="14080" width="9" style="82"/>
    <col min="14081" max="14081" width="7.59765625" style="82" customWidth="1"/>
    <col min="14082" max="14089" width="9.59765625" style="82" customWidth="1"/>
    <col min="14090" max="14090" width="6" style="82" customWidth="1"/>
    <col min="14091" max="14336" width="9" style="82"/>
    <col min="14337" max="14337" width="7.59765625" style="82" customWidth="1"/>
    <col min="14338" max="14345" width="9.59765625" style="82" customWidth="1"/>
    <col min="14346" max="14346" width="6" style="82" customWidth="1"/>
    <col min="14347" max="14592" width="9" style="82"/>
    <col min="14593" max="14593" width="7.59765625" style="82" customWidth="1"/>
    <col min="14594" max="14601" width="9.59765625" style="82" customWidth="1"/>
    <col min="14602" max="14602" width="6" style="82" customWidth="1"/>
    <col min="14603" max="14848" width="9" style="82"/>
    <col min="14849" max="14849" width="7.59765625" style="82" customWidth="1"/>
    <col min="14850" max="14857" width="9.59765625" style="82" customWidth="1"/>
    <col min="14858" max="14858" width="6" style="82" customWidth="1"/>
    <col min="14859" max="15104" width="9" style="82"/>
    <col min="15105" max="15105" width="7.59765625" style="82" customWidth="1"/>
    <col min="15106" max="15113" width="9.59765625" style="82" customWidth="1"/>
    <col min="15114" max="15114" width="6" style="82" customWidth="1"/>
    <col min="15115" max="15360" width="9" style="82"/>
    <col min="15361" max="15361" width="7.59765625" style="82" customWidth="1"/>
    <col min="15362" max="15369" width="9.59765625" style="82" customWidth="1"/>
    <col min="15370" max="15370" width="6" style="82" customWidth="1"/>
    <col min="15371" max="15616" width="9" style="82"/>
    <col min="15617" max="15617" width="7.59765625" style="82" customWidth="1"/>
    <col min="15618" max="15625" width="9.59765625" style="82" customWidth="1"/>
    <col min="15626" max="15626" width="6" style="82" customWidth="1"/>
    <col min="15627" max="15872" width="9" style="82"/>
    <col min="15873" max="15873" width="7.59765625" style="82" customWidth="1"/>
    <col min="15874" max="15881" width="9.59765625" style="82" customWidth="1"/>
    <col min="15882" max="15882" width="6" style="82" customWidth="1"/>
    <col min="15883" max="16128" width="9" style="82"/>
    <col min="16129" max="16129" width="7.59765625" style="82" customWidth="1"/>
    <col min="16130" max="16137" width="9.59765625" style="82" customWidth="1"/>
    <col min="16138" max="16138" width="6" style="82" customWidth="1"/>
    <col min="16139" max="16384" width="9" style="82"/>
  </cols>
  <sheetData>
    <row r="1" spans="1:9" ht="30" customHeight="1" thickBot="1">
      <c r="A1" s="2139" t="s">
        <v>329</v>
      </c>
      <c r="B1" s="2139"/>
      <c r="C1" s="2139"/>
      <c r="D1" s="2139"/>
      <c r="E1" s="2139"/>
      <c r="F1" s="2139"/>
      <c r="G1" s="2222" t="s">
        <v>330</v>
      </c>
      <c r="H1" s="2222"/>
      <c r="I1" s="2222"/>
    </row>
    <row r="2" spans="1:9" s="11" customFormat="1" ht="18.75" customHeight="1">
      <c r="A2" s="2187" t="s">
        <v>331</v>
      </c>
      <c r="B2" s="2183" t="s">
        <v>332</v>
      </c>
      <c r="C2" s="2184"/>
      <c r="D2" s="2184"/>
      <c r="E2" s="2183" t="s">
        <v>333</v>
      </c>
      <c r="F2" s="2184"/>
      <c r="G2" s="2184"/>
      <c r="H2" s="2183" t="s">
        <v>334</v>
      </c>
      <c r="I2" s="2184"/>
    </row>
    <row r="3" spans="1:9" s="11" customFormat="1" ht="18.75" customHeight="1">
      <c r="A3" s="2195"/>
      <c r="B3" s="37" t="s">
        <v>335</v>
      </c>
      <c r="C3" s="224"/>
      <c r="D3" s="225" t="s">
        <v>336</v>
      </c>
      <c r="E3" s="225" t="s">
        <v>335</v>
      </c>
      <c r="F3" s="226"/>
      <c r="G3" s="37" t="s">
        <v>336</v>
      </c>
      <c r="H3" s="37" t="s">
        <v>335</v>
      </c>
      <c r="I3" s="227"/>
    </row>
    <row r="4" spans="1:9" s="11" customFormat="1" ht="18.75" customHeight="1">
      <c r="A4" s="2223"/>
      <c r="B4" s="37" t="s">
        <v>337</v>
      </c>
      <c r="C4" s="88" t="s">
        <v>338</v>
      </c>
      <c r="D4" s="37" t="s">
        <v>339</v>
      </c>
      <c r="E4" s="37" t="s">
        <v>337</v>
      </c>
      <c r="F4" s="88" t="s">
        <v>338</v>
      </c>
      <c r="G4" s="37" t="s">
        <v>339</v>
      </c>
      <c r="H4" s="37" t="s">
        <v>337</v>
      </c>
      <c r="I4" s="37" t="s">
        <v>338</v>
      </c>
    </row>
    <row r="5" spans="1:9" s="11" customFormat="1" ht="18.75" customHeight="1">
      <c r="A5" s="2199"/>
      <c r="B5" s="215" t="s">
        <v>340</v>
      </c>
      <c r="C5" s="216"/>
      <c r="D5" s="215" t="s">
        <v>341</v>
      </c>
      <c r="E5" s="215" t="s">
        <v>340</v>
      </c>
      <c r="F5" s="216"/>
      <c r="G5" s="215" t="s">
        <v>341</v>
      </c>
      <c r="H5" s="215" t="s">
        <v>340</v>
      </c>
      <c r="I5" s="217"/>
    </row>
    <row r="6" spans="1:9" s="181" customFormat="1" ht="18.75" customHeight="1">
      <c r="A6" s="40" t="s">
        <v>342</v>
      </c>
      <c r="B6" s="228">
        <v>9201</v>
      </c>
      <c r="C6" s="229">
        <v>32966</v>
      </c>
      <c r="D6" s="113">
        <v>26.8</v>
      </c>
      <c r="E6" s="88">
        <v>2.2000000000000002</v>
      </c>
      <c r="F6" s="230">
        <v>464.16</v>
      </c>
      <c r="G6" s="88">
        <v>0.47</v>
      </c>
      <c r="H6" s="231">
        <v>4152.3</v>
      </c>
      <c r="I6" s="79">
        <v>71</v>
      </c>
    </row>
    <row r="7" spans="1:9" s="11" customFormat="1" ht="18.75" customHeight="1">
      <c r="A7" s="40">
        <v>60</v>
      </c>
      <c r="B7" s="228">
        <v>8426</v>
      </c>
      <c r="C7" s="229">
        <v>32451</v>
      </c>
      <c r="D7" s="113">
        <v>26</v>
      </c>
      <c r="E7" s="88">
        <v>2.2000000000000002</v>
      </c>
      <c r="F7" s="230">
        <v>464.16</v>
      </c>
      <c r="G7" s="88">
        <v>0.47</v>
      </c>
      <c r="H7" s="231">
        <v>3830</v>
      </c>
      <c r="I7" s="79">
        <v>69.900000000000006</v>
      </c>
    </row>
    <row r="8" spans="1:9" s="11" customFormat="1" ht="18.75" customHeight="1">
      <c r="A8" s="79" t="s">
        <v>192</v>
      </c>
      <c r="B8" s="228">
        <v>9691</v>
      </c>
      <c r="C8" s="229">
        <v>31597</v>
      </c>
      <c r="D8" s="88">
        <v>30.7</v>
      </c>
      <c r="E8" s="88">
        <v>2.7</v>
      </c>
      <c r="F8" s="230">
        <v>464.84</v>
      </c>
      <c r="G8" s="88">
        <v>0.57999999999999996</v>
      </c>
      <c r="H8" s="231">
        <v>3589.3</v>
      </c>
      <c r="I8" s="183">
        <v>68</v>
      </c>
    </row>
    <row r="9" spans="1:9" s="11" customFormat="1" ht="18.75" customHeight="1">
      <c r="A9" s="40">
        <v>7</v>
      </c>
      <c r="B9" s="228">
        <v>9318</v>
      </c>
      <c r="C9" s="229">
        <v>31020</v>
      </c>
      <c r="D9" s="113">
        <v>30</v>
      </c>
      <c r="E9" s="88">
        <v>2.7</v>
      </c>
      <c r="F9" s="230">
        <v>464.84</v>
      </c>
      <c r="G9" s="88">
        <v>0.57999999999999996</v>
      </c>
      <c r="H9" s="231">
        <v>3451.1</v>
      </c>
      <c r="I9" s="79">
        <v>66.7</v>
      </c>
    </row>
    <row r="10" spans="1:9" s="11" customFormat="1" ht="18.75" customHeight="1">
      <c r="A10" s="79">
        <v>12</v>
      </c>
      <c r="B10" s="228">
        <v>8029</v>
      </c>
      <c r="C10" s="229">
        <v>31011</v>
      </c>
      <c r="D10" s="113">
        <v>25.9</v>
      </c>
      <c r="E10" s="88">
        <v>2.6</v>
      </c>
      <c r="F10" s="230">
        <v>464.84</v>
      </c>
      <c r="G10" s="88">
        <v>0.56000000000000005</v>
      </c>
      <c r="H10" s="231">
        <v>3088.1</v>
      </c>
      <c r="I10" s="79">
        <v>66.7</v>
      </c>
    </row>
    <row r="11" spans="1:9" s="11" customFormat="1" ht="18.75" customHeight="1">
      <c r="A11" s="79">
        <v>17</v>
      </c>
      <c r="B11" s="232">
        <v>7535</v>
      </c>
      <c r="C11" s="233">
        <v>29798</v>
      </c>
      <c r="D11" s="234">
        <v>25.3</v>
      </c>
      <c r="E11" s="234">
        <v>2.6</v>
      </c>
      <c r="F11" s="235">
        <v>464.84</v>
      </c>
      <c r="G11" s="235">
        <v>0.56000000000000005</v>
      </c>
      <c r="H11" s="234">
        <v>2954.9</v>
      </c>
      <c r="I11" s="236">
        <v>64.099999999999994</v>
      </c>
    </row>
    <row r="12" spans="1:9" s="11" customFormat="1" ht="18.75" customHeight="1">
      <c r="A12" s="79">
        <v>22</v>
      </c>
      <c r="B12" s="232">
        <v>6730</v>
      </c>
      <c r="C12" s="233">
        <v>29801</v>
      </c>
      <c r="D12" s="234">
        <v>22.6</v>
      </c>
      <c r="E12" s="234">
        <v>2.5</v>
      </c>
      <c r="F12" s="235">
        <v>564.99</v>
      </c>
      <c r="G12" s="235">
        <v>0.44</v>
      </c>
      <c r="H12" s="234">
        <v>2670.6</v>
      </c>
      <c r="I12" s="236">
        <v>52.7</v>
      </c>
    </row>
    <row r="13" spans="1:9" s="11" customFormat="1" ht="18.75" customHeight="1">
      <c r="A13" s="79">
        <v>27</v>
      </c>
      <c r="B13" s="232">
        <v>5503</v>
      </c>
      <c r="C13" s="233">
        <v>28041</v>
      </c>
      <c r="D13" s="234">
        <v>19.600000000000001</v>
      </c>
      <c r="E13" s="234">
        <v>2.1</v>
      </c>
      <c r="F13" s="235">
        <v>565.15</v>
      </c>
      <c r="G13" s="235">
        <v>0.37</v>
      </c>
      <c r="H13" s="234">
        <v>2620.5</v>
      </c>
      <c r="I13" s="236">
        <v>49.6</v>
      </c>
    </row>
    <row r="14" spans="1:9" s="11" customFormat="1" ht="18.75" customHeight="1" thickBot="1">
      <c r="A14" s="92" t="s">
        <v>43</v>
      </c>
      <c r="B14" s="261" t="s">
        <v>346</v>
      </c>
      <c r="C14" s="262">
        <v>26029</v>
      </c>
      <c r="D14" s="263" t="s">
        <v>346</v>
      </c>
      <c r="E14" s="264" t="s">
        <v>346</v>
      </c>
      <c r="F14" s="265">
        <v>565.15</v>
      </c>
      <c r="G14" s="265" t="s">
        <v>346</v>
      </c>
      <c r="H14" s="264" t="s">
        <v>346</v>
      </c>
      <c r="I14" s="266">
        <v>46.1</v>
      </c>
    </row>
    <row r="15" spans="1:9" s="11" customFormat="1" ht="18.75" customHeight="1">
      <c r="A15" s="11" t="s">
        <v>172</v>
      </c>
      <c r="C15" s="11" t="s">
        <v>343</v>
      </c>
    </row>
    <row r="16" spans="1:9" ht="18.75" customHeight="1">
      <c r="C16" s="267" t="s">
        <v>344</v>
      </c>
    </row>
    <row r="18" spans="1:3" ht="18.75" customHeight="1">
      <c r="B18" s="2170"/>
      <c r="C18" s="2170"/>
    </row>
    <row r="21" spans="1:3" ht="18.75" customHeight="1">
      <c r="A21" s="237"/>
    </row>
  </sheetData>
  <mergeCells count="6">
    <mergeCell ref="B18:C18"/>
    <mergeCell ref="G1:I1"/>
    <mergeCell ref="A2:A5"/>
    <mergeCell ref="B2:D2"/>
    <mergeCell ref="E2:G2"/>
    <mergeCell ref="H2:I2"/>
  </mergeCells>
  <phoneticPr fontId="4"/>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41AEF-C004-4B9A-878A-3186AC31B04E}">
  <sheetPr codeName="Sheet20"/>
  <dimension ref="A1:U45"/>
  <sheetViews>
    <sheetView showGridLines="0" zoomScaleNormal="100" workbookViewId="0"/>
  </sheetViews>
  <sheetFormatPr defaultRowHeight="13.2"/>
  <cols>
    <col min="1" max="3" width="9" style="30"/>
    <col min="4" max="4" width="8.8984375" style="30" customWidth="1"/>
    <col min="5" max="259" width="9" style="30"/>
    <col min="260" max="260" width="8.8984375" style="30" customWidth="1"/>
    <col min="261" max="515" width="9" style="30"/>
    <col min="516" max="516" width="8.8984375" style="30" customWidth="1"/>
    <col min="517" max="771" width="9" style="30"/>
    <col min="772" max="772" width="8.8984375" style="30" customWidth="1"/>
    <col min="773" max="1027" width="9" style="30"/>
    <col min="1028" max="1028" width="8.8984375" style="30" customWidth="1"/>
    <col min="1029" max="1283" width="9" style="30"/>
    <col min="1284" max="1284" width="8.8984375" style="30" customWidth="1"/>
    <col min="1285" max="1539" width="9" style="30"/>
    <col min="1540" max="1540" width="8.8984375" style="30" customWidth="1"/>
    <col min="1541" max="1795" width="9" style="30"/>
    <col min="1796" max="1796" width="8.8984375" style="30" customWidth="1"/>
    <col min="1797" max="2051" width="9" style="30"/>
    <col min="2052" max="2052" width="8.8984375" style="30" customWidth="1"/>
    <col min="2053" max="2307" width="9" style="30"/>
    <col min="2308" max="2308" width="8.8984375" style="30" customWidth="1"/>
    <col min="2309" max="2563" width="9" style="30"/>
    <col min="2564" max="2564" width="8.8984375" style="30" customWidth="1"/>
    <col min="2565" max="2819" width="9" style="30"/>
    <col min="2820" max="2820" width="8.8984375" style="30" customWidth="1"/>
    <col min="2821" max="3075" width="9" style="30"/>
    <col min="3076" max="3076" width="8.8984375" style="30" customWidth="1"/>
    <col min="3077" max="3331" width="9" style="30"/>
    <col min="3332" max="3332" width="8.8984375" style="30" customWidth="1"/>
    <col min="3333" max="3587" width="9" style="30"/>
    <col min="3588" max="3588" width="8.8984375" style="30" customWidth="1"/>
    <col min="3589" max="3843" width="9" style="30"/>
    <col min="3844" max="3844" width="8.8984375" style="30" customWidth="1"/>
    <col min="3845" max="4099" width="9" style="30"/>
    <col min="4100" max="4100" width="8.8984375" style="30" customWidth="1"/>
    <col min="4101" max="4355" width="9" style="30"/>
    <col min="4356" max="4356" width="8.8984375" style="30" customWidth="1"/>
    <col min="4357" max="4611" width="9" style="30"/>
    <col min="4612" max="4612" width="8.8984375" style="30" customWidth="1"/>
    <col min="4613" max="4867" width="9" style="30"/>
    <col min="4868" max="4868" width="8.8984375" style="30" customWidth="1"/>
    <col min="4869" max="5123" width="9" style="30"/>
    <col min="5124" max="5124" width="8.8984375" style="30" customWidth="1"/>
    <col min="5125" max="5379" width="9" style="30"/>
    <col min="5380" max="5380" width="8.8984375" style="30" customWidth="1"/>
    <col min="5381" max="5635" width="9" style="30"/>
    <col min="5636" max="5636" width="8.8984375" style="30" customWidth="1"/>
    <col min="5637" max="5891" width="9" style="30"/>
    <col min="5892" max="5892" width="8.8984375" style="30" customWidth="1"/>
    <col min="5893" max="6147" width="9" style="30"/>
    <col min="6148" max="6148" width="8.8984375" style="30" customWidth="1"/>
    <col min="6149" max="6403" width="9" style="30"/>
    <col min="6404" max="6404" width="8.8984375" style="30" customWidth="1"/>
    <col min="6405" max="6659" width="9" style="30"/>
    <col min="6660" max="6660" width="8.8984375" style="30" customWidth="1"/>
    <col min="6661" max="6915" width="9" style="30"/>
    <col min="6916" max="6916" width="8.8984375" style="30" customWidth="1"/>
    <col min="6917" max="7171" width="9" style="30"/>
    <col min="7172" max="7172" width="8.8984375" style="30" customWidth="1"/>
    <col min="7173" max="7427" width="9" style="30"/>
    <col min="7428" max="7428" width="8.8984375" style="30" customWidth="1"/>
    <col min="7429" max="7683" width="9" style="30"/>
    <col min="7684" max="7684" width="8.8984375" style="30" customWidth="1"/>
    <col min="7685" max="7939" width="9" style="30"/>
    <col min="7940" max="7940" width="8.8984375" style="30" customWidth="1"/>
    <col min="7941" max="8195" width="9" style="30"/>
    <col min="8196" max="8196" width="8.8984375" style="30" customWidth="1"/>
    <col min="8197" max="8451" width="9" style="30"/>
    <col min="8452" max="8452" width="8.8984375" style="30" customWidth="1"/>
    <col min="8453" max="8707" width="9" style="30"/>
    <col min="8708" max="8708" width="8.8984375" style="30" customWidth="1"/>
    <col min="8709" max="8963" width="9" style="30"/>
    <col min="8964" max="8964" width="8.8984375" style="30" customWidth="1"/>
    <col min="8965" max="9219" width="9" style="30"/>
    <col min="9220" max="9220" width="8.8984375" style="30" customWidth="1"/>
    <col min="9221" max="9475" width="9" style="30"/>
    <col min="9476" max="9476" width="8.8984375" style="30" customWidth="1"/>
    <col min="9477" max="9731" width="9" style="30"/>
    <col min="9732" max="9732" width="8.8984375" style="30" customWidth="1"/>
    <col min="9733" max="9987" width="9" style="30"/>
    <col min="9988" max="9988" width="8.8984375" style="30" customWidth="1"/>
    <col min="9989" max="10243" width="9" style="30"/>
    <col min="10244" max="10244" width="8.8984375" style="30" customWidth="1"/>
    <col min="10245" max="10499" width="9" style="30"/>
    <col min="10500" max="10500" width="8.8984375" style="30" customWidth="1"/>
    <col min="10501" max="10755" width="9" style="30"/>
    <col min="10756" max="10756" width="8.8984375" style="30" customWidth="1"/>
    <col min="10757" max="11011" width="9" style="30"/>
    <col min="11012" max="11012" width="8.8984375" style="30" customWidth="1"/>
    <col min="11013" max="11267" width="9" style="30"/>
    <col min="11268" max="11268" width="8.8984375" style="30" customWidth="1"/>
    <col min="11269" max="11523" width="9" style="30"/>
    <col min="11524" max="11524" width="8.8984375" style="30" customWidth="1"/>
    <col min="11525" max="11779" width="9" style="30"/>
    <col min="11780" max="11780" width="8.8984375" style="30" customWidth="1"/>
    <col min="11781" max="12035" width="9" style="30"/>
    <col min="12036" max="12036" width="8.8984375" style="30" customWidth="1"/>
    <col min="12037" max="12291" width="9" style="30"/>
    <col min="12292" max="12292" width="8.8984375" style="30" customWidth="1"/>
    <col min="12293" max="12547" width="9" style="30"/>
    <col min="12548" max="12548" width="8.8984375" style="30" customWidth="1"/>
    <col min="12549" max="12803" width="9" style="30"/>
    <col min="12804" max="12804" width="8.8984375" style="30" customWidth="1"/>
    <col min="12805" max="13059" width="9" style="30"/>
    <col min="13060" max="13060" width="8.8984375" style="30" customWidth="1"/>
    <col min="13061" max="13315" width="9" style="30"/>
    <col min="13316" max="13316" width="8.8984375" style="30" customWidth="1"/>
    <col min="13317" max="13571" width="9" style="30"/>
    <col min="13572" max="13572" width="8.8984375" style="30" customWidth="1"/>
    <col min="13573" max="13827" width="9" style="30"/>
    <col min="13828" max="13828" width="8.8984375" style="30" customWidth="1"/>
    <col min="13829" max="14083" width="9" style="30"/>
    <col min="14084" max="14084" width="8.8984375" style="30" customWidth="1"/>
    <col min="14085" max="14339" width="9" style="30"/>
    <col min="14340" max="14340" width="8.8984375" style="30" customWidth="1"/>
    <col min="14341" max="14595" width="9" style="30"/>
    <col min="14596" max="14596" width="8.8984375" style="30" customWidth="1"/>
    <col min="14597" max="14851" width="9" style="30"/>
    <col min="14852" max="14852" width="8.8984375" style="30" customWidth="1"/>
    <col min="14853" max="15107" width="9" style="30"/>
    <col min="15108" max="15108" width="8.8984375" style="30" customWidth="1"/>
    <col min="15109" max="15363" width="9" style="30"/>
    <col min="15364" max="15364" width="8.8984375" style="30" customWidth="1"/>
    <col min="15365" max="15619" width="9" style="30"/>
    <col min="15620" max="15620" width="8.8984375" style="30" customWidth="1"/>
    <col min="15621" max="15875" width="9" style="30"/>
    <col min="15876" max="15876" width="8.8984375" style="30" customWidth="1"/>
    <col min="15877" max="16131" width="9" style="30"/>
    <col min="16132" max="16132" width="8.8984375" style="30" customWidth="1"/>
    <col min="16133" max="16384" width="9" style="30"/>
  </cols>
  <sheetData>
    <row r="1" spans="1:20" s="269" customFormat="1" ht="30" customHeight="1" thickBot="1">
      <c r="A1" s="268" t="s">
        <v>347</v>
      </c>
      <c r="B1" s="268"/>
      <c r="C1" s="268"/>
      <c r="D1" s="268"/>
      <c r="E1" s="268"/>
      <c r="K1" s="270" t="s">
        <v>348</v>
      </c>
    </row>
    <row r="2" spans="1:20" s="271" customFormat="1" ht="15" customHeight="1">
      <c r="A2" s="2224" t="s">
        <v>349</v>
      </c>
      <c r="B2" s="2232" t="s">
        <v>350</v>
      </c>
      <c r="C2" s="2235" t="s">
        <v>351</v>
      </c>
      <c r="D2" s="2236" t="s">
        <v>352</v>
      </c>
      <c r="E2" s="2237"/>
      <c r="F2" s="2237"/>
      <c r="G2" s="2237"/>
      <c r="H2" s="2237"/>
      <c r="I2" s="2237"/>
      <c r="J2" s="2237"/>
      <c r="K2" s="2238" t="s">
        <v>353</v>
      </c>
    </row>
    <row r="3" spans="1:20" s="271" customFormat="1" ht="15" customHeight="1">
      <c r="A3" s="2225"/>
      <c r="B3" s="2233"/>
      <c r="C3" s="2228"/>
      <c r="D3" s="2227" t="s">
        <v>354</v>
      </c>
      <c r="E3" s="2241" t="s">
        <v>355</v>
      </c>
      <c r="F3" s="2242"/>
      <c r="G3" s="2242"/>
      <c r="H3" s="2242"/>
      <c r="I3" s="2243"/>
      <c r="J3" s="2244" t="s">
        <v>356</v>
      </c>
      <c r="K3" s="2239"/>
    </row>
    <row r="4" spans="1:20" s="271" customFormat="1" ht="15" customHeight="1">
      <c r="A4" s="2225"/>
      <c r="B4" s="2233"/>
      <c r="C4" s="2228"/>
      <c r="D4" s="2228"/>
      <c r="E4" s="2230" t="s">
        <v>357</v>
      </c>
      <c r="F4" s="2230" t="s">
        <v>358</v>
      </c>
      <c r="G4" s="2227" t="s">
        <v>359</v>
      </c>
      <c r="H4" s="2227" t="s">
        <v>360</v>
      </c>
      <c r="I4" s="2230" t="s">
        <v>361</v>
      </c>
      <c r="J4" s="2239"/>
      <c r="K4" s="2239"/>
    </row>
    <row r="5" spans="1:20" s="271" customFormat="1" ht="15" customHeight="1">
      <c r="A5" s="2225"/>
      <c r="B5" s="2233"/>
      <c r="C5" s="2228"/>
      <c r="D5" s="2228"/>
      <c r="E5" s="2228"/>
      <c r="F5" s="2228"/>
      <c r="G5" s="2228"/>
      <c r="H5" s="2228"/>
      <c r="I5" s="2228"/>
      <c r="J5" s="2239"/>
      <c r="K5" s="2239"/>
    </row>
    <row r="6" spans="1:20" s="271" customFormat="1" ht="15" customHeight="1">
      <c r="A6" s="2231"/>
      <c r="B6" s="2234"/>
      <c r="C6" s="2229"/>
      <c r="D6" s="2229"/>
      <c r="E6" s="2229"/>
      <c r="F6" s="2229"/>
      <c r="G6" s="2229"/>
      <c r="H6" s="2229"/>
      <c r="I6" s="2229"/>
      <c r="J6" s="2240"/>
      <c r="K6" s="2240"/>
    </row>
    <row r="7" spans="1:20" s="271" customFormat="1" ht="15" customHeight="1">
      <c r="A7" s="273"/>
      <c r="B7" s="274"/>
      <c r="C7" s="275" t="s">
        <v>167</v>
      </c>
      <c r="D7" s="276" t="s">
        <v>167</v>
      </c>
      <c r="E7" s="277" t="s">
        <v>167</v>
      </c>
      <c r="F7" s="276" t="s">
        <v>167</v>
      </c>
      <c r="G7" s="277" t="s">
        <v>167</v>
      </c>
      <c r="H7" s="276" t="s">
        <v>167</v>
      </c>
      <c r="I7" s="277" t="s">
        <v>167</v>
      </c>
      <c r="J7" s="276" t="s">
        <v>167</v>
      </c>
      <c r="K7" s="277" t="s">
        <v>167</v>
      </c>
      <c r="M7" s="278"/>
      <c r="N7" s="278"/>
      <c r="O7" s="278"/>
      <c r="P7" s="278"/>
      <c r="Q7" s="278"/>
      <c r="R7" s="278"/>
      <c r="S7" s="278"/>
      <c r="T7" s="278"/>
    </row>
    <row r="8" spans="1:20" s="271" customFormat="1" ht="15" customHeight="1">
      <c r="A8" s="2225" t="s">
        <v>362</v>
      </c>
      <c r="B8" s="279" t="s">
        <v>175</v>
      </c>
      <c r="C8" s="280">
        <v>27653</v>
      </c>
      <c r="D8" s="281">
        <v>17578</v>
      </c>
      <c r="E8" s="282">
        <v>16655</v>
      </c>
      <c r="F8" s="281">
        <v>13845</v>
      </c>
      <c r="G8" s="282">
        <v>2480</v>
      </c>
      <c r="H8" s="281">
        <v>77</v>
      </c>
      <c r="I8" s="282">
        <v>253</v>
      </c>
      <c r="J8" s="281">
        <v>923</v>
      </c>
      <c r="K8" s="282">
        <v>9907</v>
      </c>
      <c r="M8" s="278"/>
      <c r="N8" s="278"/>
      <c r="O8" s="278"/>
      <c r="P8" s="278"/>
      <c r="Q8" s="278"/>
      <c r="R8" s="278"/>
      <c r="S8" s="278"/>
      <c r="T8" s="278"/>
    </row>
    <row r="9" spans="1:20" s="271" customFormat="1" ht="15" customHeight="1">
      <c r="A9" s="2225"/>
      <c r="B9" s="279" t="s">
        <v>363</v>
      </c>
      <c r="C9" s="280">
        <v>19086</v>
      </c>
      <c r="D9" s="281">
        <v>15099</v>
      </c>
      <c r="E9" s="282">
        <v>14243</v>
      </c>
      <c r="F9" s="280">
        <v>12199</v>
      </c>
      <c r="G9" s="280">
        <v>1787</v>
      </c>
      <c r="H9" s="280">
        <v>77</v>
      </c>
      <c r="I9" s="280">
        <v>180</v>
      </c>
      <c r="J9" s="280">
        <v>856</v>
      </c>
      <c r="K9" s="280">
        <v>3847</v>
      </c>
      <c r="M9" s="278"/>
      <c r="N9" s="278"/>
      <c r="O9" s="278"/>
      <c r="P9" s="278"/>
      <c r="Q9" s="278"/>
      <c r="R9" s="278"/>
      <c r="S9" s="278"/>
      <c r="T9" s="278"/>
    </row>
    <row r="10" spans="1:20" s="271" customFormat="1" ht="15" customHeight="1">
      <c r="A10" s="2225"/>
      <c r="B10" s="283" t="s">
        <v>364</v>
      </c>
      <c r="C10" s="284">
        <v>8567</v>
      </c>
      <c r="D10" s="285">
        <v>2479</v>
      </c>
      <c r="E10" s="286">
        <v>2412</v>
      </c>
      <c r="F10" s="285">
        <v>1646</v>
      </c>
      <c r="G10" s="286">
        <v>693</v>
      </c>
      <c r="H10" s="287" t="s">
        <v>305</v>
      </c>
      <c r="I10" s="286">
        <v>73</v>
      </c>
      <c r="J10" s="285">
        <v>67</v>
      </c>
      <c r="K10" s="286">
        <v>6060</v>
      </c>
      <c r="M10" s="278"/>
      <c r="N10" s="278"/>
      <c r="O10" s="278"/>
      <c r="P10" s="278"/>
      <c r="Q10" s="278"/>
      <c r="R10" s="278"/>
      <c r="S10" s="278"/>
      <c r="T10" s="278"/>
    </row>
    <row r="11" spans="1:20" s="271" customFormat="1" ht="15" customHeight="1">
      <c r="A11" s="2225"/>
      <c r="B11" s="279" t="s">
        <v>164</v>
      </c>
      <c r="C11" s="280">
        <v>13254</v>
      </c>
      <c r="D11" s="281">
        <v>10084</v>
      </c>
      <c r="E11" s="282">
        <v>9454</v>
      </c>
      <c r="F11" s="281">
        <v>9053</v>
      </c>
      <c r="G11" s="282">
        <v>223</v>
      </c>
      <c r="H11" s="281">
        <v>34</v>
      </c>
      <c r="I11" s="282">
        <v>144</v>
      </c>
      <c r="J11" s="281">
        <v>630</v>
      </c>
      <c r="K11" s="282">
        <v>3063</v>
      </c>
      <c r="M11" s="278"/>
      <c r="N11" s="278"/>
      <c r="O11" s="278"/>
      <c r="P11" s="278"/>
      <c r="Q11" s="278"/>
      <c r="R11" s="278"/>
      <c r="S11" s="278"/>
      <c r="T11" s="278"/>
    </row>
    <row r="12" spans="1:20" s="271" customFormat="1" ht="15" customHeight="1">
      <c r="A12" s="2225"/>
      <c r="B12" s="279" t="s">
        <v>363</v>
      </c>
      <c r="C12" s="280">
        <v>9681</v>
      </c>
      <c r="D12" s="281">
        <v>8601</v>
      </c>
      <c r="E12" s="282">
        <v>8028</v>
      </c>
      <c r="F12" s="280">
        <v>7833</v>
      </c>
      <c r="G12" s="280">
        <v>77</v>
      </c>
      <c r="H12" s="280">
        <v>34</v>
      </c>
      <c r="I12" s="280">
        <v>84</v>
      </c>
      <c r="J12" s="280">
        <v>573</v>
      </c>
      <c r="K12" s="280">
        <v>986</v>
      </c>
      <c r="M12" s="278"/>
      <c r="N12" s="278"/>
      <c r="O12" s="278"/>
      <c r="P12" s="278"/>
      <c r="Q12" s="278"/>
      <c r="R12" s="278"/>
      <c r="S12" s="278"/>
      <c r="T12" s="278"/>
    </row>
    <row r="13" spans="1:20" s="271" customFormat="1" ht="15" customHeight="1">
      <c r="A13" s="2225"/>
      <c r="B13" s="283" t="s">
        <v>364</v>
      </c>
      <c r="C13" s="284">
        <v>3573</v>
      </c>
      <c r="D13" s="285">
        <v>1483</v>
      </c>
      <c r="E13" s="286">
        <v>1426</v>
      </c>
      <c r="F13" s="285">
        <v>1220</v>
      </c>
      <c r="G13" s="286">
        <v>146</v>
      </c>
      <c r="H13" s="288" t="s">
        <v>305</v>
      </c>
      <c r="I13" s="286">
        <v>60</v>
      </c>
      <c r="J13" s="285">
        <v>57</v>
      </c>
      <c r="K13" s="286">
        <v>2077</v>
      </c>
      <c r="M13" s="278"/>
      <c r="N13" s="278"/>
      <c r="O13" s="278"/>
      <c r="P13" s="278"/>
      <c r="Q13" s="278"/>
      <c r="R13" s="278"/>
      <c r="S13" s="278"/>
      <c r="T13" s="278"/>
    </row>
    <row r="14" spans="1:20" s="271" customFormat="1" ht="15" customHeight="1">
      <c r="A14" s="2225"/>
      <c r="B14" s="279" t="s">
        <v>165</v>
      </c>
      <c r="C14" s="280">
        <v>14399</v>
      </c>
      <c r="D14" s="281">
        <v>7494</v>
      </c>
      <c r="E14" s="282">
        <v>7201</v>
      </c>
      <c r="F14" s="281">
        <v>4792</v>
      </c>
      <c r="G14" s="282">
        <v>2257</v>
      </c>
      <c r="H14" s="281">
        <v>43</v>
      </c>
      <c r="I14" s="282">
        <v>109</v>
      </c>
      <c r="J14" s="281">
        <v>293</v>
      </c>
      <c r="K14" s="282">
        <v>6844</v>
      </c>
      <c r="M14" s="278"/>
      <c r="N14" s="278"/>
      <c r="O14" s="278"/>
      <c r="P14" s="278"/>
      <c r="Q14" s="278"/>
      <c r="R14" s="278"/>
      <c r="S14" s="278"/>
      <c r="T14" s="278"/>
    </row>
    <row r="15" spans="1:20" s="271" customFormat="1" ht="15" customHeight="1">
      <c r="A15" s="2225"/>
      <c r="B15" s="279" t="s">
        <v>363</v>
      </c>
      <c r="C15" s="280">
        <v>9405</v>
      </c>
      <c r="D15" s="281">
        <v>6498</v>
      </c>
      <c r="E15" s="282">
        <v>6215</v>
      </c>
      <c r="F15" s="280">
        <v>4366</v>
      </c>
      <c r="G15" s="280">
        <v>1710</v>
      </c>
      <c r="H15" s="280">
        <v>43</v>
      </c>
      <c r="I15" s="280">
        <v>96</v>
      </c>
      <c r="J15" s="280">
        <v>283</v>
      </c>
      <c r="K15" s="280">
        <v>2861</v>
      </c>
      <c r="M15" s="278"/>
      <c r="N15" s="278"/>
      <c r="O15" s="278"/>
      <c r="P15" s="278"/>
      <c r="Q15" s="278"/>
      <c r="R15" s="278"/>
      <c r="S15" s="278"/>
      <c r="T15" s="278"/>
    </row>
    <row r="16" spans="1:20" s="271" customFormat="1" ht="15" customHeight="1" thickBot="1">
      <c r="A16" s="2226"/>
      <c r="B16" s="289" t="s">
        <v>364</v>
      </c>
      <c r="C16" s="290">
        <v>4994</v>
      </c>
      <c r="D16" s="291">
        <v>996</v>
      </c>
      <c r="E16" s="292">
        <v>986</v>
      </c>
      <c r="F16" s="291">
        <v>426</v>
      </c>
      <c r="G16" s="292">
        <v>547</v>
      </c>
      <c r="H16" s="293" t="s">
        <v>305</v>
      </c>
      <c r="I16" s="292">
        <v>13</v>
      </c>
      <c r="J16" s="291">
        <v>10</v>
      </c>
      <c r="K16" s="292">
        <v>3983</v>
      </c>
      <c r="M16" s="278"/>
      <c r="N16" s="278"/>
      <c r="O16" s="278"/>
      <c r="P16" s="278"/>
      <c r="Q16" s="278"/>
      <c r="R16" s="278"/>
      <c r="S16" s="278"/>
      <c r="T16" s="278"/>
    </row>
    <row r="17" spans="1:20" s="271" customFormat="1" ht="15" customHeight="1">
      <c r="A17" s="2225" t="s">
        <v>365</v>
      </c>
      <c r="B17" s="279" t="s">
        <v>175</v>
      </c>
      <c r="C17" s="280">
        <v>26026</v>
      </c>
      <c r="D17" s="281">
        <v>15674</v>
      </c>
      <c r="E17" s="282">
        <v>14812</v>
      </c>
      <c r="F17" s="281">
        <v>12469</v>
      </c>
      <c r="G17" s="282">
        <v>2066</v>
      </c>
      <c r="H17" s="281">
        <v>67</v>
      </c>
      <c r="I17" s="282">
        <v>210</v>
      </c>
      <c r="J17" s="281">
        <v>862</v>
      </c>
      <c r="K17" s="282">
        <v>10253</v>
      </c>
      <c r="L17" s="278"/>
      <c r="M17" s="278"/>
      <c r="N17" s="278"/>
      <c r="O17" s="278"/>
      <c r="P17" s="278"/>
      <c r="Q17" s="278"/>
      <c r="R17" s="278"/>
      <c r="S17" s="278"/>
    </row>
    <row r="18" spans="1:20" s="271" customFormat="1" ht="15" customHeight="1">
      <c r="A18" s="2225"/>
      <c r="B18" s="279" t="s">
        <v>363</v>
      </c>
      <c r="C18" s="280">
        <v>16906</v>
      </c>
      <c r="D18" s="281">
        <v>13348</v>
      </c>
      <c r="E18" s="282">
        <v>12601</v>
      </c>
      <c r="F18" s="280">
        <v>10968</v>
      </c>
      <c r="G18" s="280">
        <v>1430</v>
      </c>
      <c r="H18" s="280">
        <v>67</v>
      </c>
      <c r="I18" s="280">
        <v>136</v>
      </c>
      <c r="J18" s="280">
        <v>747</v>
      </c>
      <c r="K18" s="280">
        <v>3481</v>
      </c>
      <c r="L18" s="278"/>
      <c r="M18" s="278"/>
      <c r="N18" s="278"/>
      <c r="O18" s="278"/>
      <c r="P18" s="278"/>
      <c r="Q18" s="278"/>
      <c r="R18" s="278"/>
      <c r="S18" s="278"/>
    </row>
    <row r="19" spans="1:20" s="271" customFormat="1" ht="15" customHeight="1">
      <c r="A19" s="2225"/>
      <c r="B19" s="283" t="s">
        <v>364</v>
      </c>
      <c r="C19" s="284">
        <v>9120</v>
      </c>
      <c r="D19" s="285">
        <v>2326</v>
      </c>
      <c r="E19" s="286">
        <v>2211</v>
      </c>
      <c r="F19" s="285">
        <v>1501</v>
      </c>
      <c r="G19" s="286">
        <v>636</v>
      </c>
      <c r="H19" s="287" t="s">
        <v>305</v>
      </c>
      <c r="I19" s="286">
        <v>74</v>
      </c>
      <c r="J19" s="285">
        <v>115</v>
      </c>
      <c r="K19" s="286">
        <v>6772</v>
      </c>
      <c r="L19" s="278"/>
      <c r="M19" s="278"/>
      <c r="N19" s="278"/>
      <c r="O19" s="278"/>
      <c r="P19" s="278"/>
      <c r="Q19" s="278"/>
      <c r="R19" s="278"/>
      <c r="S19" s="278"/>
    </row>
    <row r="20" spans="1:20" s="271" customFormat="1" ht="15" customHeight="1">
      <c r="A20" s="2225"/>
      <c r="B20" s="279" t="s">
        <v>164</v>
      </c>
      <c r="C20" s="280">
        <v>12463</v>
      </c>
      <c r="D20" s="281">
        <v>9017</v>
      </c>
      <c r="E20" s="282">
        <v>8388</v>
      </c>
      <c r="F20" s="281">
        <v>7982</v>
      </c>
      <c r="G20" s="282">
        <v>250</v>
      </c>
      <c r="H20" s="281">
        <v>29</v>
      </c>
      <c r="I20" s="282">
        <v>127</v>
      </c>
      <c r="J20" s="281">
        <v>629</v>
      </c>
      <c r="K20" s="282">
        <v>3400</v>
      </c>
      <c r="L20" s="278"/>
      <c r="M20" s="278"/>
      <c r="N20" s="278"/>
      <c r="O20" s="278"/>
      <c r="P20" s="278"/>
      <c r="Q20" s="278"/>
      <c r="R20" s="278"/>
      <c r="S20" s="278"/>
      <c r="T20" s="278"/>
    </row>
    <row r="21" spans="1:20" s="271" customFormat="1" ht="15" customHeight="1">
      <c r="A21" s="2225"/>
      <c r="B21" s="279" t="s">
        <v>363</v>
      </c>
      <c r="C21" s="280">
        <v>8634</v>
      </c>
      <c r="D21" s="281">
        <v>7587</v>
      </c>
      <c r="E21" s="282">
        <v>7051</v>
      </c>
      <c r="F21" s="280">
        <v>6882</v>
      </c>
      <c r="G21" s="280">
        <v>79</v>
      </c>
      <c r="H21" s="280">
        <v>29</v>
      </c>
      <c r="I21" s="280">
        <v>61</v>
      </c>
      <c r="J21" s="280">
        <v>536</v>
      </c>
      <c r="K21" s="280">
        <v>1009</v>
      </c>
      <c r="L21" s="278"/>
      <c r="M21" s="278"/>
      <c r="N21" s="278"/>
      <c r="O21" s="278"/>
      <c r="P21" s="278"/>
      <c r="Q21" s="278"/>
      <c r="R21" s="278"/>
      <c r="S21" s="278"/>
      <c r="T21" s="278"/>
    </row>
    <row r="22" spans="1:20" s="271" customFormat="1" ht="15" customHeight="1">
      <c r="A22" s="2225"/>
      <c r="B22" s="283" t="s">
        <v>364</v>
      </c>
      <c r="C22" s="284">
        <v>3829</v>
      </c>
      <c r="D22" s="285">
        <v>1430</v>
      </c>
      <c r="E22" s="286">
        <v>1337</v>
      </c>
      <c r="F22" s="285">
        <v>1100</v>
      </c>
      <c r="G22" s="286">
        <v>171</v>
      </c>
      <c r="H22" s="288" t="s">
        <v>305</v>
      </c>
      <c r="I22" s="286">
        <v>66</v>
      </c>
      <c r="J22" s="285">
        <v>93</v>
      </c>
      <c r="K22" s="286">
        <v>2391</v>
      </c>
      <c r="L22" s="278"/>
      <c r="M22" s="278"/>
      <c r="N22" s="278"/>
      <c r="O22" s="278"/>
      <c r="P22" s="278"/>
      <c r="Q22" s="278"/>
      <c r="R22" s="278"/>
      <c r="S22" s="278"/>
      <c r="T22" s="278"/>
    </row>
    <row r="23" spans="1:20" s="271" customFormat="1" ht="15" customHeight="1">
      <c r="A23" s="2225"/>
      <c r="B23" s="279" t="s">
        <v>165</v>
      </c>
      <c r="C23" s="280">
        <v>13563</v>
      </c>
      <c r="D23" s="281">
        <v>6657</v>
      </c>
      <c r="E23" s="282">
        <v>6424</v>
      </c>
      <c r="F23" s="281">
        <v>4487</v>
      </c>
      <c r="G23" s="282">
        <v>1816</v>
      </c>
      <c r="H23" s="281">
        <v>38</v>
      </c>
      <c r="I23" s="282">
        <v>83</v>
      </c>
      <c r="J23" s="281">
        <v>233</v>
      </c>
      <c r="K23" s="282">
        <v>6853</v>
      </c>
      <c r="L23" s="278"/>
      <c r="M23" s="278"/>
      <c r="N23" s="278"/>
      <c r="O23" s="278"/>
      <c r="P23" s="278"/>
      <c r="Q23" s="278"/>
      <c r="R23" s="278"/>
      <c r="S23" s="278"/>
    </row>
    <row r="24" spans="1:20" s="271" customFormat="1" ht="15" customHeight="1">
      <c r="A24" s="2225"/>
      <c r="B24" s="279" t="s">
        <v>363</v>
      </c>
      <c r="C24" s="280">
        <v>8272</v>
      </c>
      <c r="D24" s="281">
        <v>5761</v>
      </c>
      <c r="E24" s="282">
        <v>5550</v>
      </c>
      <c r="F24" s="280">
        <v>4086</v>
      </c>
      <c r="G24" s="280">
        <v>1351</v>
      </c>
      <c r="H24" s="280">
        <v>38</v>
      </c>
      <c r="I24" s="280">
        <v>75</v>
      </c>
      <c r="J24" s="280">
        <v>211</v>
      </c>
      <c r="K24" s="280">
        <v>2472</v>
      </c>
      <c r="L24" s="278"/>
      <c r="M24" s="278"/>
      <c r="N24" s="278"/>
      <c r="O24" s="278"/>
      <c r="P24" s="278"/>
      <c r="Q24" s="278"/>
      <c r="R24" s="278"/>
      <c r="S24" s="278"/>
    </row>
    <row r="25" spans="1:20" s="271" customFormat="1" ht="15" customHeight="1" thickBot="1">
      <c r="A25" s="2226"/>
      <c r="B25" s="289" t="s">
        <v>364</v>
      </c>
      <c r="C25" s="290">
        <v>5291</v>
      </c>
      <c r="D25" s="291">
        <v>896</v>
      </c>
      <c r="E25" s="292">
        <v>874</v>
      </c>
      <c r="F25" s="291">
        <v>401</v>
      </c>
      <c r="G25" s="292">
        <v>465</v>
      </c>
      <c r="H25" s="293" t="s">
        <v>305</v>
      </c>
      <c r="I25" s="292">
        <v>8</v>
      </c>
      <c r="J25" s="291">
        <v>22</v>
      </c>
      <c r="K25" s="292">
        <v>4381</v>
      </c>
      <c r="L25" s="278"/>
      <c r="M25" s="278"/>
      <c r="N25" s="278"/>
      <c r="O25" s="278"/>
      <c r="P25" s="278"/>
      <c r="Q25" s="278"/>
      <c r="R25" s="278"/>
      <c r="S25" s="278"/>
    </row>
    <row r="26" spans="1:20" s="271" customFormat="1" ht="15" customHeight="1">
      <c r="A26" s="2225" t="s">
        <v>366</v>
      </c>
      <c r="B26" s="279" t="s">
        <v>175</v>
      </c>
      <c r="C26" s="280">
        <v>24666</v>
      </c>
      <c r="D26" s="281">
        <v>14507</v>
      </c>
      <c r="E26" s="282">
        <v>14018</v>
      </c>
      <c r="F26" s="281">
        <v>11855</v>
      </c>
      <c r="G26" s="282">
        <v>1903</v>
      </c>
      <c r="H26" s="281">
        <v>42</v>
      </c>
      <c r="I26" s="282">
        <v>218</v>
      </c>
      <c r="J26" s="281">
        <v>489</v>
      </c>
      <c r="K26" s="282">
        <v>9927</v>
      </c>
      <c r="L26" s="278"/>
      <c r="M26" s="278"/>
      <c r="N26" s="278"/>
      <c r="O26" s="278"/>
      <c r="P26" s="278"/>
      <c r="Q26" s="278"/>
      <c r="R26" s="278"/>
      <c r="S26" s="278"/>
    </row>
    <row r="27" spans="1:20" s="271" customFormat="1" ht="15" customHeight="1">
      <c r="A27" s="2225"/>
      <c r="B27" s="279" t="s">
        <v>363</v>
      </c>
      <c r="C27" s="280">
        <v>14900</v>
      </c>
      <c r="D27" s="281">
        <v>11779</v>
      </c>
      <c r="E27" s="282">
        <v>11365</v>
      </c>
      <c r="F27" s="280">
        <v>9974</v>
      </c>
      <c r="G27" s="280">
        <v>1198</v>
      </c>
      <c r="H27" s="280">
        <v>42</v>
      </c>
      <c r="I27" s="280">
        <v>151</v>
      </c>
      <c r="J27" s="280">
        <v>414</v>
      </c>
      <c r="K27" s="280">
        <v>2956</v>
      </c>
      <c r="L27" s="278"/>
      <c r="M27" s="278"/>
      <c r="N27" s="278"/>
      <c r="O27" s="278"/>
      <c r="P27" s="278"/>
      <c r="Q27" s="278"/>
      <c r="R27" s="278"/>
      <c r="S27" s="278"/>
    </row>
    <row r="28" spans="1:20" s="271" customFormat="1" ht="15" customHeight="1">
      <c r="A28" s="2225"/>
      <c r="B28" s="283" t="s">
        <v>364</v>
      </c>
      <c r="C28" s="284">
        <v>9766</v>
      </c>
      <c r="D28" s="285">
        <v>2728</v>
      </c>
      <c r="E28" s="286">
        <v>2653</v>
      </c>
      <c r="F28" s="285">
        <v>1881</v>
      </c>
      <c r="G28" s="286">
        <v>705</v>
      </c>
      <c r="H28" s="287" t="s">
        <v>305</v>
      </c>
      <c r="I28" s="286">
        <v>67</v>
      </c>
      <c r="J28" s="285">
        <v>75</v>
      </c>
      <c r="K28" s="286">
        <v>6971</v>
      </c>
      <c r="L28" s="278"/>
      <c r="M28" s="278"/>
      <c r="N28" s="278"/>
      <c r="O28" s="278"/>
      <c r="P28" s="278"/>
      <c r="Q28" s="278"/>
      <c r="R28" s="278"/>
      <c r="S28" s="278"/>
    </row>
    <row r="29" spans="1:20" s="271" customFormat="1" ht="15" customHeight="1">
      <c r="A29" s="2225"/>
      <c r="B29" s="279" t="s">
        <v>164</v>
      </c>
      <c r="C29" s="280">
        <v>11812</v>
      </c>
      <c r="D29" s="281">
        <v>8150</v>
      </c>
      <c r="E29" s="282">
        <v>7818</v>
      </c>
      <c r="F29" s="281">
        <v>7427</v>
      </c>
      <c r="G29" s="282">
        <v>237</v>
      </c>
      <c r="H29" s="281">
        <v>25</v>
      </c>
      <c r="I29" s="282">
        <v>129</v>
      </c>
      <c r="J29" s="281">
        <v>332</v>
      </c>
      <c r="K29" s="282">
        <v>3531</v>
      </c>
      <c r="L29" s="278"/>
      <c r="M29" s="278"/>
      <c r="N29" s="278"/>
      <c r="O29" s="278"/>
      <c r="P29" s="278"/>
      <c r="Q29" s="278"/>
      <c r="R29" s="278"/>
      <c r="S29" s="278"/>
      <c r="T29" s="278"/>
    </row>
    <row r="30" spans="1:20" s="271" customFormat="1" ht="15" customHeight="1">
      <c r="A30" s="2225"/>
      <c r="B30" s="279" t="s">
        <v>363</v>
      </c>
      <c r="C30" s="280">
        <v>7618</v>
      </c>
      <c r="D30" s="281">
        <v>6534</v>
      </c>
      <c r="E30" s="282">
        <v>6259</v>
      </c>
      <c r="F30" s="280">
        <v>6100</v>
      </c>
      <c r="G30" s="280">
        <v>60</v>
      </c>
      <c r="H30" s="280">
        <v>25</v>
      </c>
      <c r="I30" s="280">
        <v>74</v>
      </c>
      <c r="J30" s="280">
        <v>275</v>
      </c>
      <c r="K30" s="280">
        <v>990</v>
      </c>
      <c r="L30" s="278"/>
      <c r="M30" s="278"/>
      <c r="N30" s="278"/>
      <c r="O30" s="278"/>
      <c r="P30" s="278"/>
      <c r="Q30" s="278"/>
      <c r="R30" s="278"/>
      <c r="S30" s="278"/>
      <c r="T30" s="278"/>
    </row>
    <row r="31" spans="1:20" s="271" customFormat="1" ht="15" customHeight="1">
      <c r="A31" s="2225"/>
      <c r="B31" s="283" t="s">
        <v>364</v>
      </c>
      <c r="C31" s="284">
        <v>4194</v>
      </c>
      <c r="D31" s="285">
        <v>1616</v>
      </c>
      <c r="E31" s="286">
        <v>1559</v>
      </c>
      <c r="F31" s="285">
        <v>1327</v>
      </c>
      <c r="G31" s="286">
        <v>177</v>
      </c>
      <c r="H31" s="288" t="s">
        <v>305</v>
      </c>
      <c r="I31" s="286">
        <v>55</v>
      </c>
      <c r="J31" s="285">
        <v>57</v>
      </c>
      <c r="K31" s="286">
        <v>2541</v>
      </c>
      <c r="L31" s="278"/>
      <c r="M31" s="278"/>
      <c r="N31" s="278"/>
      <c r="O31" s="278"/>
      <c r="P31" s="278"/>
      <c r="Q31" s="278"/>
      <c r="R31" s="278"/>
      <c r="S31" s="278"/>
      <c r="T31" s="278"/>
    </row>
    <row r="32" spans="1:20" s="271" customFormat="1" ht="15" customHeight="1">
      <c r="A32" s="2225"/>
      <c r="B32" s="279" t="s">
        <v>165</v>
      </c>
      <c r="C32" s="280">
        <v>12854</v>
      </c>
      <c r="D32" s="281">
        <v>6357</v>
      </c>
      <c r="E32" s="282">
        <v>6200</v>
      </c>
      <c r="F32" s="281">
        <v>4428</v>
      </c>
      <c r="G32" s="282">
        <v>1666</v>
      </c>
      <c r="H32" s="281">
        <v>17</v>
      </c>
      <c r="I32" s="282">
        <v>89</v>
      </c>
      <c r="J32" s="281">
        <v>157</v>
      </c>
      <c r="K32" s="282">
        <v>6396</v>
      </c>
      <c r="L32" s="278"/>
      <c r="M32" s="278"/>
      <c r="N32" s="278"/>
      <c r="O32" s="278"/>
      <c r="P32" s="278"/>
      <c r="Q32" s="278"/>
      <c r="R32" s="278"/>
      <c r="S32" s="278"/>
    </row>
    <row r="33" spans="1:21" s="271" customFormat="1" ht="15" customHeight="1">
      <c r="A33" s="2225"/>
      <c r="B33" s="279" t="s">
        <v>363</v>
      </c>
      <c r="C33" s="280">
        <v>7282</v>
      </c>
      <c r="D33" s="281">
        <v>5245</v>
      </c>
      <c r="E33" s="282">
        <v>5106</v>
      </c>
      <c r="F33" s="280">
        <v>3874</v>
      </c>
      <c r="G33" s="280">
        <v>1138</v>
      </c>
      <c r="H33" s="280">
        <v>17</v>
      </c>
      <c r="I33" s="280">
        <v>77</v>
      </c>
      <c r="J33" s="280">
        <v>139</v>
      </c>
      <c r="K33" s="280">
        <v>1966</v>
      </c>
      <c r="L33" s="278"/>
      <c r="M33" s="278"/>
      <c r="N33" s="278"/>
      <c r="O33" s="278"/>
      <c r="P33" s="278"/>
      <c r="Q33" s="278"/>
      <c r="R33" s="278"/>
      <c r="S33" s="278"/>
    </row>
    <row r="34" spans="1:21" s="271" customFormat="1" ht="15" customHeight="1" thickBot="1">
      <c r="A34" s="2226"/>
      <c r="B34" s="289" t="s">
        <v>364</v>
      </c>
      <c r="C34" s="290">
        <v>5572</v>
      </c>
      <c r="D34" s="291">
        <v>1112</v>
      </c>
      <c r="E34" s="292">
        <v>1094</v>
      </c>
      <c r="F34" s="291">
        <v>554</v>
      </c>
      <c r="G34" s="292">
        <v>528</v>
      </c>
      <c r="H34" s="293" t="s">
        <v>305</v>
      </c>
      <c r="I34" s="292">
        <v>12</v>
      </c>
      <c r="J34" s="291">
        <v>18</v>
      </c>
      <c r="K34" s="292">
        <v>4430</v>
      </c>
      <c r="L34" s="278"/>
      <c r="M34" s="278"/>
      <c r="N34" s="278"/>
      <c r="O34" s="278"/>
      <c r="P34" s="278"/>
      <c r="Q34" s="278"/>
      <c r="R34" s="278"/>
      <c r="S34" s="278"/>
    </row>
    <row r="35" spans="1:21" s="271" customFormat="1" ht="15" customHeight="1">
      <c r="A35" s="2224" t="s">
        <v>367</v>
      </c>
      <c r="B35" s="279" t="s">
        <v>175</v>
      </c>
      <c r="C35" s="294">
        <f>+SUM(C36:C37)</f>
        <v>23065</v>
      </c>
      <c r="D35" s="294">
        <f t="shared" ref="D35:K35" si="0">+SUM(D36:D37)</f>
        <v>12619</v>
      </c>
      <c r="E35" s="294">
        <f t="shared" si="0"/>
        <v>12168</v>
      </c>
      <c r="F35" s="294">
        <f t="shared" si="0"/>
        <v>10202</v>
      </c>
      <c r="G35" s="294">
        <f t="shared" si="0"/>
        <v>1585</v>
      </c>
      <c r="H35" s="294">
        <f t="shared" si="0"/>
        <v>69</v>
      </c>
      <c r="I35" s="294">
        <f t="shared" si="0"/>
        <v>312</v>
      </c>
      <c r="J35" s="294">
        <f t="shared" si="0"/>
        <v>451</v>
      </c>
      <c r="K35" s="294">
        <f t="shared" si="0"/>
        <v>8480</v>
      </c>
      <c r="M35" s="278"/>
      <c r="N35" s="278"/>
      <c r="O35" s="278"/>
      <c r="P35" s="278"/>
      <c r="Q35" s="278"/>
      <c r="R35" s="278"/>
      <c r="S35" s="278"/>
      <c r="T35" s="278"/>
    </row>
    <row r="36" spans="1:21" s="271" customFormat="1" ht="15" customHeight="1">
      <c r="A36" s="2225"/>
      <c r="B36" s="279" t="s">
        <v>363</v>
      </c>
      <c r="C36" s="294">
        <v>13174</v>
      </c>
      <c r="D36" s="295">
        <v>9779</v>
      </c>
      <c r="E36" s="296">
        <v>9415</v>
      </c>
      <c r="F36" s="294">
        <v>8315</v>
      </c>
      <c r="G36" s="294">
        <v>844</v>
      </c>
      <c r="H36" s="294">
        <v>68</v>
      </c>
      <c r="I36" s="294">
        <v>188</v>
      </c>
      <c r="J36" s="294">
        <v>364</v>
      </c>
      <c r="K36" s="294">
        <v>2001</v>
      </c>
      <c r="M36" s="278"/>
      <c r="N36" s="278"/>
      <c r="O36" s="278"/>
      <c r="P36" s="278"/>
      <c r="Q36" s="278"/>
      <c r="R36" s="278"/>
      <c r="S36" s="278"/>
      <c r="T36" s="278"/>
    </row>
    <row r="37" spans="1:21" s="271" customFormat="1" ht="15" customHeight="1">
      <c r="A37" s="2225"/>
      <c r="B37" s="283" t="s">
        <v>364</v>
      </c>
      <c r="C37" s="297">
        <v>9891</v>
      </c>
      <c r="D37" s="298">
        <v>2840</v>
      </c>
      <c r="E37" s="299">
        <v>2753</v>
      </c>
      <c r="F37" s="298">
        <v>1887</v>
      </c>
      <c r="G37" s="299">
        <v>741</v>
      </c>
      <c r="H37" s="300">
        <v>1</v>
      </c>
      <c r="I37" s="299">
        <v>124</v>
      </c>
      <c r="J37" s="298">
        <v>87</v>
      </c>
      <c r="K37" s="299">
        <v>6479</v>
      </c>
      <c r="M37" s="278"/>
      <c r="N37" s="278"/>
      <c r="O37" s="278"/>
      <c r="P37" s="278"/>
      <c r="Q37" s="278"/>
      <c r="R37" s="278"/>
      <c r="S37" s="278"/>
      <c r="T37" s="278"/>
    </row>
    <row r="38" spans="1:21" s="271" customFormat="1" ht="15" customHeight="1">
      <c r="A38" s="2225"/>
      <c r="B38" s="279" t="s">
        <v>164</v>
      </c>
      <c r="C38" s="294">
        <f>+SUM(C39:C40)</f>
        <v>7984</v>
      </c>
      <c r="D38" s="294">
        <f t="shared" ref="D38:K38" si="1">+SUM(D39:D40)</f>
        <v>6940</v>
      </c>
      <c r="E38" s="294">
        <f t="shared" si="1"/>
        <v>6634</v>
      </c>
      <c r="F38" s="294">
        <f t="shared" si="1"/>
        <v>6214</v>
      </c>
      <c r="G38" s="294">
        <f t="shared" si="1"/>
        <v>229</v>
      </c>
      <c r="H38" s="294">
        <f t="shared" si="1"/>
        <v>22</v>
      </c>
      <c r="I38" s="294">
        <f t="shared" si="1"/>
        <v>169</v>
      </c>
      <c r="J38" s="294">
        <f t="shared" si="1"/>
        <v>306</v>
      </c>
      <c r="K38" s="294">
        <f t="shared" si="1"/>
        <v>3090</v>
      </c>
      <c r="M38" s="278"/>
      <c r="N38" s="278"/>
      <c r="O38" s="278"/>
      <c r="P38" s="278"/>
      <c r="Q38" s="278"/>
      <c r="R38" s="278"/>
      <c r="S38" s="278"/>
      <c r="T38" s="278"/>
      <c r="U38" s="278"/>
    </row>
    <row r="39" spans="1:21" s="271" customFormat="1" ht="15" customHeight="1">
      <c r="A39" s="2225"/>
      <c r="B39" s="279" t="s">
        <v>363</v>
      </c>
      <c r="C39" s="294">
        <v>1331</v>
      </c>
      <c r="D39" s="295">
        <v>5279</v>
      </c>
      <c r="E39" s="296">
        <v>5045</v>
      </c>
      <c r="F39" s="294">
        <v>4887</v>
      </c>
      <c r="G39" s="294">
        <v>57</v>
      </c>
      <c r="H39" s="294">
        <v>21</v>
      </c>
      <c r="I39" s="294">
        <v>80</v>
      </c>
      <c r="J39" s="294">
        <v>234</v>
      </c>
      <c r="K39" s="294">
        <v>691</v>
      </c>
      <c r="M39" s="278"/>
      <c r="N39" s="278"/>
      <c r="O39" s="278"/>
      <c r="P39" s="278"/>
      <c r="Q39" s="278"/>
      <c r="R39" s="278"/>
      <c r="S39" s="278"/>
      <c r="T39" s="278"/>
      <c r="U39" s="278"/>
    </row>
    <row r="40" spans="1:21" s="271" customFormat="1" ht="15" customHeight="1">
      <c r="A40" s="2225"/>
      <c r="B40" s="283" t="s">
        <v>364</v>
      </c>
      <c r="C40" s="297">
        <v>6653</v>
      </c>
      <c r="D40" s="298">
        <v>1661</v>
      </c>
      <c r="E40" s="299">
        <v>1589</v>
      </c>
      <c r="F40" s="298">
        <v>1327</v>
      </c>
      <c r="G40" s="299">
        <v>172</v>
      </c>
      <c r="H40" s="301">
        <v>1</v>
      </c>
      <c r="I40" s="299">
        <v>89</v>
      </c>
      <c r="J40" s="298">
        <v>72</v>
      </c>
      <c r="K40" s="299">
        <v>2399</v>
      </c>
      <c r="M40" s="278"/>
      <c r="N40" s="278"/>
      <c r="O40" s="278"/>
      <c r="P40" s="278"/>
      <c r="Q40" s="278"/>
      <c r="R40" s="278"/>
      <c r="S40" s="278"/>
      <c r="T40" s="278"/>
      <c r="U40" s="278"/>
    </row>
    <row r="41" spans="1:21" s="271" customFormat="1" ht="15" customHeight="1">
      <c r="A41" s="2225"/>
      <c r="B41" s="279" t="s">
        <v>165</v>
      </c>
      <c r="C41" s="294">
        <f>+SUM(C42:C43)</f>
        <v>7650</v>
      </c>
      <c r="D41" s="294">
        <f t="shared" ref="D41:K41" si="2">+SUM(D42:D43)</f>
        <v>5679</v>
      </c>
      <c r="E41" s="294">
        <f t="shared" si="2"/>
        <v>5534</v>
      </c>
      <c r="F41" s="294">
        <f t="shared" si="2"/>
        <v>3988</v>
      </c>
      <c r="G41" s="294">
        <f t="shared" si="2"/>
        <v>1356</v>
      </c>
      <c r="H41" s="294">
        <f t="shared" si="2"/>
        <v>47</v>
      </c>
      <c r="I41" s="294">
        <f t="shared" si="2"/>
        <v>143</v>
      </c>
      <c r="J41" s="294">
        <f t="shared" si="2"/>
        <v>145</v>
      </c>
      <c r="K41" s="294">
        <f t="shared" si="2"/>
        <v>5390</v>
      </c>
      <c r="M41" s="278"/>
      <c r="N41" s="278"/>
      <c r="O41" s="278"/>
      <c r="P41" s="278"/>
      <c r="Q41" s="278"/>
      <c r="R41" s="278"/>
      <c r="S41" s="278"/>
      <c r="T41" s="278"/>
    </row>
    <row r="42" spans="1:21" s="271" customFormat="1" ht="15" customHeight="1">
      <c r="A42" s="2225"/>
      <c r="B42" s="279" t="s">
        <v>363</v>
      </c>
      <c r="C42" s="294">
        <v>1129</v>
      </c>
      <c r="D42" s="295">
        <v>4500</v>
      </c>
      <c r="E42" s="296">
        <v>4370</v>
      </c>
      <c r="F42" s="294">
        <v>3428</v>
      </c>
      <c r="G42" s="294">
        <v>787</v>
      </c>
      <c r="H42" s="294">
        <v>47</v>
      </c>
      <c r="I42" s="294">
        <v>108</v>
      </c>
      <c r="J42" s="294">
        <v>130</v>
      </c>
      <c r="K42" s="294">
        <v>1310</v>
      </c>
      <c r="M42" s="278"/>
      <c r="N42" s="278"/>
      <c r="O42" s="278"/>
      <c r="P42" s="278"/>
      <c r="Q42" s="278"/>
      <c r="R42" s="278"/>
      <c r="S42" s="278"/>
      <c r="T42" s="278"/>
    </row>
    <row r="43" spans="1:21" s="271" customFormat="1" ht="15" customHeight="1" thickBot="1">
      <c r="A43" s="2226"/>
      <c r="B43" s="289" t="s">
        <v>364</v>
      </c>
      <c r="C43" s="302">
        <v>6521</v>
      </c>
      <c r="D43" s="303">
        <v>1179</v>
      </c>
      <c r="E43" s="304">
        <v>1164</v>
      </c>
      <c r="F43" s="303">
        <v>560</v>
      </c>
      <c r="G43" s="304">
        <v>569</v>
      </c>
      <c r="H43" s="305" t="s">
        <v>345</v>
      </c>
      <c r="I43" s="304">
        <v>35</v>
      </c>
      <c r="J43" s="303">
        <v>15</v>
      </c>
      <c r="K43" s="304">
        <v>4080</v>
      </c>
      <c r="M43" s="278"/>
      <c r="N43" s="278"/>
      <c r="O43" s="278"/>
      <c r="P43" s="278"/>
      <c r="Q43" s="278"/>
      <c r="R43" s="278"/>
      <c r="S43" s="278"/>
      <c r="T43" s="278"/>
    </row>
    <row r="44" spans="1:21" s="271" customFormat="1" ht="18" customHeight="1">
      <c r="B44" s="307" t="s">
        <v>368</v>
      </c>
      <c r="C44" s="306"/>
    </row>
    <row r="45" spans="1:21">
      <c r="B45" s="271"/>
    </row>
  </sheetData>
  <mergeCells count="17">
    <mergeCell ref="K2:K6"/>
    <mergeCell ref="D3:D6"/>
    <mergeCell ref="E3:I3"/>
    <mergeCell ref="J3:J6"/>
    <mergeCell ref="E4:E6"/>
    <mergeCell ref="F4:F6"/>
    <mergeCell ref="A35:A43"/>
    <mergeCell ref="G4:G6"/>
    <mergeCell ref="H4:H6"/>
    <mergeCell ref="I4:I6"/>
    <mergeCell ref="A8:A16"/>
    <mergeCell ref="A17:A25"/>
    <mergeCell ref="A26:A34"/>
    <mergeCell ref="A2:A6"/>
    <mergeCell ref="B2:B6"/>
    <mergeCell ref="C2:C6"/>
    <mergeCell ref="D2:J2"/>
  </mergeCells>
  <phoneticPr fontId="4"/>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C2AAC-EF50-4FA0-BD1A-89F4620B559E}">
  <sheetPr codeName="Sheet10"/>
  <dimension ref="A2:B141"/>
  <sheetViews>
    <sheetView topLeftCell="A82" workbookViewId="0">
      <selection activeCell="B82" sqref="B82"/>
    </sheetView>
  </sheetViews>
  <sheetFormatPr defaultRowHeight="18"/>
  <cols>
    <col min="1" max="1" width="0.296875" customWidth="1"/>
    <col min="2" max="2" width="59.69921875" customWidth="1"/>
  </cols>
  <sheetData>
    <row r="2" spans="1:2">
      <c r="A2" s="1198" t="s">
        <v>2415</v>
      </c>
      <c r="B2" s="1199" t="str">
        <f>+HYPERLINK("#"&amp;A2&amp;"!A1",A2)</f>
        <v>01表紙</v>
      </c>
    </row>
    <row r="3" spans="1:2">
      <c r="A3" s="1198" t="s">
        <v>2416</v>
      </c>
      <c r="B3" s="1199" t="str">
        <f t="shared" ref="B3:B62" si="0">+HYPERLINK("#"&amp;A3&amp;"!A1",A3)</f>
        <v>02目次</v>
      </c>
    </row>
    <row r="4" spans="1:2">
      <c r="A4" s="1198" t="s">
        <v>2417</v>
      </c>
      <c r="B4" s="1199" t="str">
        <f t="shared" si="0"/>
        <v>04シンボルマーク</v>
      </c>
    </row>
    <row r="5" spans="1:2">
      <c r="A5" s="1198" t="s">
        <v>2418</v>
      </c>
      <c r="B5" s="1199" t="str">
        <f t="shared" si="0"/>
        <v>05利用者のために</v>
      </c>
    </row>
    <row r="6" spans="1:2">
      <c r="A6" s="1198" t="s">
        <v>2419</v>
      </c>
      <c r="B6" s="1199" t="str">
        <f t="shared" si="0"/>
        <v>07沿革</v>
      </c>
    </row>
    <row r="7" spans="1:2">
      <c r="A7" s="1198" t="s">
        <v>2420</v>
      </c>
      <c r="B7" s="1199" t="str">
        <f t="shared" si="0"/>
        <v>08明治以降の合併系図</v>
      </c>
    </row>
    <row r="8" spans="1:2">
      <c r="A8" s="1198" t="s">
        <v>2421</v>
      </c>
      <c r="B8" s="1199" t="str">
        <f t="shared" si="0"/>
        <v>10位置と面積</v>
      </c>
    </row>
    <row r="9" spans="1:2">
      <c r="A9" s="1198" t="s">
        <v>2422</v>
      </c>
      <c r="B9" s="1199" t="str">
        <f t="shared" si="0"/>
        <v>11地目別面積</v>
      </c>
    </row>
    <row r="10" spans="1:2">
      <c r="A10" s="1198" t="s">
        <v>2423</v>
      </c>
      <c r="B10" s="1199" t="str">
        <f t="shared" si="0"/>
        <v>12年次別気象概況</v>
      </c>
    </row>
    <row r="11" spans="1:2">
      <c r="A11" s="1198" t="s">
        <v>2424</v>
      </c>
      <c r="B11" s="1199" t="str">
        <f t="shared" si="0"/>
        <v>13降雪積雪量</v>
      </c>
    </row>
    <row r="12" spans="1:2">
      <c r="A12" s="1198" t="s">
        <v>2425</v>
      </c>
      <c r="B12" s="1199" t="str">
        <f t="shared" si="0"/>
        <v>14人口の推移</v>
      </c>
    </row>
    <row r="13" spans="1:2">
      <c r="A13" s="1198" t="s">
        <v>2426</v>
      </c>
      <c r="B13" s="1199" t="str">
        <f t="shared" si="0"/>
        <v>16年齢３区分別人口の推移</v>
      </c>
    </row>
    <row r="14" spans="1:2">
      <c r="A14" s="1198" t="s">
        <v>2427</v>
      </c>
      <c r="B14" s="1199" t="str">
        <f t="shared" si="0"/>
        <v>17地区別人口の推移</v>
      </c>
    </row>
    <row r="15" spans="1:2">
      <c r="A15" s="1198" t="s">
        <v>2428</v>
      </c>
      <c r="B15" s="1199" t="str">
        <f t="shared" si="0"/>
        <v>18人口動態</v>
      </c>
    </row>
    <row r="16" spans="1:2">
      <c r="A16" s="1198" t="s">
        <v>2429</v>
      </c>
      <c r="B16" s="1199" t="str">
        <f t="shared" si="0"/>
        <v>19出生率の推移</v>
      </c>
    </row>
    <row r="17" spans="1:2">
      <c r="A17" s="1198" t="s">
        <v>2430</v>
      </c>
      <c r="B17" s="1199" t="str">
        <f t="shared" si="0"/>
        <v>20年齢（５歳階級）別人口構成</v>
      </c>
    </row>
    <row r="18" spans="1:2">
      <c r="A18" s="1198" t="s">
        <v>2431</v>
      </c>
      <c r="B18" s="1199" t="str">
        <f t="shared" si="0"/>
        <v>21国籍別外国人登録者数</v>
      </c>
    </row>
    <row r="19" spans="1:2">
      <c r="A19" s="1198" t="s">
        <v>2432</v>
      </c>
      <c r="B19" s="1199" t="str">
        <f t="shared" si="0"/>
        <v>22人口集中地区別人口・面積・人口密度ＤＩＤｓ</v>
      </c>
    </row>
    <row r="20" spans="1:2">
      <c r="A20" s="1198" t="s">
        <v>2433</v>
      </c>
      <c r="B20" s="1199" t="str">
        <f t="shared" si="0"/>
        <v>23１５歳以上男女別労働力人口</v>
      </c>
    </row>
    <row r="21" spans="1:2">
      <c r="A21" s="1198" t="s">
        <v>2434</v>
      </c>
      <c r="B21" s="1199" t="str">
        <f t="shared" si="0"/>
        <v>24産業分類別就業者数</v>
      </c>
    </row>
    <row r="22" spans="1:2">
      <c r="A22" s="1198" t="s">
        <v>2435</v>
      </c>
      <c r="B22" s="1199" t="str">
        <f t="shared" si="0"/>
        <v>25産業別従業上の地位・男女別１５歳以上就業者数</v>
      </c>
    </row>
    <row r="23" spans="1:2">
      <c r="A23" s="1198" t="s">
        <v>2436</v>
      </c>
      <c r="B23" s="1199" t="str">
        <f t="shared" si="0"/>
        <v>26職業分類別就業者数</v>
      </c>
    </row>
    <row r="24" spans="1:2">
      <c r="A24" s="1198" t="s">
        <v>2437</v>
      </c>
      <c r="B24" s="1199" t="str">
        <f t="shared" si="0"/>
        <v>27世帯人員別一般世帯数及び一般世帯人員</v>
      </c>
    </row>
    <row r="25" spans="1:2">
      <c r="A25" s="1198" t="s">
        <v>2438</v>
      </c>
      <c r="B25" s="1199" t="str">
        <f t="shared" si="0"/>
        <v>28世帯の家族類型別一般世帯数・一般世帯人員及び親族人員</v>
      </c>
    </row>
    <row r="26" spans="1:2">
      <c r="A26" s="1198" t="s">
        <v>2439</v>
      </c>
      <c r="B26" s="1199" t="str">
        <f t="shared" si="0"/>
        <v>29高齢者の年齢（５区分）、男女別高齢単身者数</v>
      </c>
    </row>
    <row r="27" spans="1:2">
      <c r="A27" s="1198" t="s">
        <v>2440</v>
      </c>
      <c r="B27" s="1199" t="str">
        <f t="shared" si="0"/>
        <v>30住居の種類・所有の関係別６５歳以上のいる一般世帯数・人員</v>
      </c>
    </row>
    <row r="28" spans="1:2">
      <c r="A28" s="1198" t="s">
        <v>2441</v>
      </c>
      <c r="B28" s="1199" t="str">
        <f t="shared" si="0"/>
        <v>31常住人口・流入流出人口及び昼間人口</v>
      </c>
    </row>
    <row r="29" spans="1:2">
      <c r="A29" s="1198" t="s">
        <v>2442</v>
      </c>
      <c r="B29" s="1199" t="str">
        <f t="shared" si="0"/>
        <v>32通勤者市町村別内訳（１５歳以上）</v>
      </c>
    </row>
    <row r="30" spans="1:2">
      <c r="A30" s="1198" t="s">
        <v>2443</v>
      </c>
      <c r="B30" s="1199" t="str">
        <f t="shared" si="0"/>
        <v>33通学者市町村別内訳（１５歳以上）</v>
      </c>
    </row>
    <row r="31" spans="1:2">
      <c r="A31" s="1198" t="s">
        <v>2444</v>
      </c>
      <c r="B31" s="1199" t="str">
        <f t="shared" si="0"/>
        <v>34議会の開催状況</v>
      </c>
    </row>
    <row r="32" spans="1:2">
      <c r="A32" s="1198" t="s">
        <v>2445</v>
      </c>
      <c r="B32" s="1199" t="str">
        <f t="shared" si="0"/>
        <v>35市議会委員会の状況</v>
      </c>
    </row>
    <row r="33" spans="1:2">
      <c r="A33" s="1198" t="s">
        <v>2446</v>
      </c>
      <c r="B33" s="1199" t="str">
        <f t="shared" si="0"/>
        <v>36市議会会派別議員数</v>
      </c>
    </row>
    <row r="34" spans="1:2">
      <c r="A34" s="1198" t="s">
        <v>2447</v>
      </c>
      <c r="B34" s="1199" t="str">
        <f t="shared" si="0"/>
        <v>37年齢別議員数</v>
      </c>
    </row>
    <row r="35" spans="1:2">
      <c r="A35" s="1198" t="s">
        <v>2448</v>
      </c>
      <c r="B35" s="1199" t="str">
        <f t="shared" si="0"/>
        <v>38選挙の執行状況</v>
      </c>
    </row>
    <row r="36" spans="1:2">
      <c r="A36" s="1198" t="s">
        <v>2449</v>
      </c>
      <c r="B36" s="1199" t="str">
        <f t="shared" si="0"/>
        <v>39選挙人名簿登録者数等の推移</v>
      </c>
    </row>
    <row r="37" spans="1:2">
      <c r="A37" s="1198" t="s">
        <v>2450</v>
      </c>
      <c r="B37" s="1199" t="str">
        <f t="shared" si="0"/>
        <v>40一般会計歳入歳出予算構成比</v>
      </c>
    </row>
    <row r="38" spans="1:2">
      <c r="A38" s="1198" t="s">
        <v>2451</v>
      </c>
      <c r="B38" s="1199" t="str">
        <f t="shared" si="0"/>
        <v>41会計別決算の状況</v>
      </c>
    </row>
    <row r="39" spans="1:2">
      <c r="A39" s="1198" t="s">
        <v>2452</v>
      </c>
      <c r="B39" s="1199" t="str">
        <f t="shared" si="0"/>
        <v>42市税の収入状況</v>
      </c>
    </row>
    <row r="40" spans="1:2">
      <c r="A40" s="1198" t="s">
        <v>2453</v>
      </c>
      <c r="B40" s="1199" t="str">
        <f t="shared" si="0"/>
        <v>43歳入内容別決算状況</v>
      </c>
    </row>
    <row r="41" spans="1:2">
      <c r="A41" s="1198" t="s">
        <v>2454</v>
      </c>
      <c r="B41" s="1199" t="str">
        <f t="shared" si="0"/>
        <v>44歳出内容別決算状況</v>
      </c>
    </row>
    <row r="42" spans="1:2">
      <c r="A42" s="1198" t="s">
        <v>2455</v>
      </c>
      <c r="B42" s="1199" t="str">
        <f t="shared" si="0"/>
        <v>45目的別市債の状況</v>
      </c>
    </row>
    <row r="43" spans="1:2">
      <c r="A43" s="1198" t="s">
        <v>2456</v>
      </c>
      <c r="B43" s="1199" t="str">
        <f t="shared" si="0"/>
        <v>46市税市民負担額の推移</v>
      </c>
    </row>
    <row r="44" spans="1:2">
      <c r="A44" s="1198" t="s">
        <v>2457</v>
      </c>
      <c r="B44" s="1199" t="str">
        <f t="shared" si="0"/>
        <v>47地方交付税推移</v>
      </c>
    </row>
    <row r="45" spans="1:2">
      <c r="A45" s="1198" t="s">
        <v>2458</v>
      </c>
      <c r="B45" s="1199" t="str">
        <f t="shared" si="0"/>
        <v>48市有財産</v>
      </c>
    </row>
    <row r="46" spans="1:2">
      <c r="A46" s="1198" t="s">
        <v>2459</v>
      </c>
      <c r="B46" s="1199" t="str">
        <f t="shared" si="0"/>
        <v>49専業兼業別農家数と農家人口</v>
      </c>
    </row>
    <row r="47" spans="1:2">
      <c r="A47" s="1198" t="s">
        <v>2460</v>
      </c>
      <c r="B47" s="1199" t="str">
        <f t="shared" si="0"/>
        <v>50販売農家における主副業別農家数</v>
      </c>
    </row>
    <row r="48" spans="1:2">
      <c r="A48" s="1198" t="s">
        <v>2461</v>
      </c>
      <c r="B48" s="1199" t="str">
        <f t="shared" si="0"/>
        <v>52経営耕地面積の推移</v>
      </c>
    </row>
    <row r="49" spans="1:2">
      <c r="A49" s="1198" t="s">
        <v>2462</v>
      </c>
      <c r="B49" s="1199" t="str">
        <f t="shared" si="0"/>
        <v>55販売農家における年齢別農家人口</v>
      </c>
    </row>
    <row r="50" spans="1:2">
      <c r="A50" s="1198" t="s">
        <v>2463</v>
      </c>
      <c r="B50" s="1199" t="str">
        <f t="shared" si="0"/>
        <v>56販売農家における家畜の頭羽数</v>
      </c>
    </row>
    <row r="51" spans="1:2">
      <c r="A51" s="1198" t="s">
        <v>2464</v>
      </c>
      <c r="B51" s="1199" t="str">
        <f t="shared" si="0"/>
        <v>58農地の移動状況</v>
      </c>
    </row>
    <row r="52" spans="1:2">
      <c r="A52" s="1198" t="s">
        <v>2465</v>
      </c>
      <c r="B52" s="1199" t="str">
        <f t="shared" si="0"/>
        <v>59林野面積</v>
      </c>
    </row>
    <row r="53" spans="1:2">
      <c r="A53" s="1198" t="s">
        <v>2466</v>
      </c>
      <c r="B53" s="1199" t="str">
        <f t="shared" si="0"/>
        <v>60事業所数・従業者数の推移</v>
      </c>
    </row>
    <row r="54" spans="1:2">
      <c r="A54" s="1198" t="s">
        <v>2467</v>
      </c>
      <c r="B54" s="1199" t="str">
        <f t="shared" si="0"/>
        <v>61産業大分類別事業所数・産業大分類別従業者数</v>
      </c>
    </row>
    <row r="55" spans="1:2">
      <c r="A55" s="1198" t="s">
        <v>2468</v>
      </c>
      <c r="B55" s="1199" t="str">
        <f t="shared" si="0"/>
        <v>62産業中分類別の製造品出荷額等の推移</v>
      </c>
    </row>
    <row r="56" spans="1:2">
      <c r="A56" s="1198" t="s">
        <v>2469</v>
      </c>
      <c r="B56" s="1199" t="str">
        <f t="shared" si="0"/>
        <v>63年次別の工場数・従業者数・製造品出荷額等の推移</v>
      </c>
    </row>
    <row r="57" spans="1:2">
      <c r="A57" s="1198" t="s">
        <v>2470</v>
      </c>
      <c r="B57" s="1199" t="str">
        <f t="shared" si="0"/>
        <v>65商業の推移</v>
      </c>
    </row>
    <row r="58" spans="1:2">
      <c r="A58" s="1198" t="s">
        <v>2471</v>
      </c>
      <c r="B58" s="1199" t="str">
        <f t="shared" si="0"/>
        <v>66産業中分類別年間商品販売額の推移</v>
      </c>
    </row>
    <row r="59" spans="1:2">
      <c r="A59" s="1198" t="s">
        <v>2472</v>
      </c>
      <c r="B59" s="1199" t="str">
        <f t="shared" si="0"/>
        <v>67学校総覧</v>
      </c>
    </row>
    <row r="60" spans="1:2">
      <c r="A60" s="1198" t="s">
        <v>2473</v>
      </c>
      <c r="B60" s="1199" t="str">
        <f t="shared" si="0"/>
        <v>68幼稚園の状況</v>
      </c>
    </row>
    <row r="61" spans="1:2">
      <c r="A61" s="1198" t="s">
        <v>2474</v>
      </c>
      <c r="B61" s="1199" t="str">
        <f t="shared" si="0"/>
        <v>69小学校の状況</v>
      </c>
    </row>
    <row r="62" spans="1:2">
      <c r="A62" s="1198" t="s">
        <v>2475</v>
      </c>
      <c r="B62" s="1199" t="str">
        <f t="shared" si="0"/>
        <v>70中学校の状況・義務教育学校の状況</v>
      </c>
    </row>
    <row r="63" spans="1:2">
      <c r="A63" s="1198" t="s">
        <v>2476</v>
      </c>
      <c r="B63" s="1199" t="str">
        <f t="shared" ref="B63:B127" si="1">+HYPERLINK("#"&amp;A63&amp;"!A1",A63)</f>
        <v>71中学校進路別卒業者数</v>
      </c>
    </row>
    <row r="64" spans="1:2">
      <c r="A64" s="1198" t="s">
        <v>2477</v>
      </c>
      <c r="B64" s="1199" t="str">
        <f t="shared" si="1"/>
        <v>72高等学校進路別卒業者</v>
      </c>
    </row>
    <row r="65" spans="1:2">
      <c r="A65" s="1198" t="s">
        <v>2478</v>
      </c>
      <c r="B65" s="1199" t="str">
        <f t="shared" si="1"/>
        <v>73高等学校卒業者の職業分類別就職者数</v>
      </c>
    </row>
    <row r="66" spans="1:2">
      <c r="A66" s="1198" t="s">
        <v>2479</v>
      </c>
      <c r="B66" s="1199" t="str">
        <f t="shared" si="1"/>
        <v>74高等学校卒業者の産業大分類別就職者数</v>
      </c>
    </row>
    <row r="67" spans="1:2">
      <c r="A67" s="1198" t="s">
        <v>2480</v>
      </c>
      <c r="B67" s="1199" t="str">
        <f t="shared" si="1"/>
        <v>75高等学校卒業者の県内地区別就職者数</v>
      </c>
    </row>
    <row r="68" spans="1:2">
      <c r="A68" s="1198" t="s">
        <v>2481</v>
      </c>
      <c r="B68" s="1199" t="str">
        <f t="shared" si="1"/>
        <v>79高等学校卒業者の都道府県別大学進学者数</v>
      </c>
    </row>
    <row r="69" spans="1:2">
      <c r="A69" s="1198" t="s">
        <v>2482</v>
      </c>
      <c r="B69" s="1199" t="str">
        <f t="shared" si="1"/>
        <v>80奨学金貸与の状況</v>
      </c>
    </row>
    <row r="70" spans="1:2">
      <c r="A70" s="1198" t="s">
        <v>2483</v>
      </c>
      <c r="B70" s="1199" t="str">
        <f t="shared" si="1"/>
        <v>81図書館貸出冊数の推移</v>
      </c>
    </row>
    <row r="71" spans="1:2">
      <c r="A71" s="1198" t="s">
        <v>2484</v>
      </c>
      <c r="B71" s="1199" t="str">
        <f t="shared" si="1"/>
        <v>82図書館利用者数</v>
      </c>
    </row>
    <row r="72" spans="1:2">
      <c r="A72" s="1198" t="s">
        <v>2485</v>
      </c>
      <c r="B72" s="1199" t="str">
        <f t="shared" si="1"/>
        <v>83図書館の蔵書と利用冊数</v>
      </c>
    </row>
    <row r="73" spans="1:2">
      <c r="A73" s="1198" t="s">
        <v>2486</v>
      </c>
      <c r="B73" s="1199" t="str">
        <f t="shared" si="1"/>
        <v>84夏期大学講座の受講者数</v>
      </c>
    </row>
    <row r="74" spans="1:2">
      <c r="A74" s="1198" t="s">
        <v>2487</v>
      </c>
      <c r="B74" s="1199" t="str">
        <f t="shared" si="1"/>
        <v>85山岳博物館の観覧状況</v>
      </c>
    </row>
    <row r="75" spans="1:2">
      <c r="A75" s="1198" t="s">
        <v>2488</v>
      </c>
      <c r="B75" s="1199" t="str">
        <f t="shared" si="1"/>
        <v>86文化財</v>
      </c>
    </row>
    <row r="76" spans="1:2">
      <c r="A76" s="1198" t="s">
        <v>2414</v>
      </c>
      <c r="B76" s="1199" t="str">
        <f t="shared" si="1"/>
        <v>87一般職業紹介の状況</v>
      </c>
    </row>
    <row r="77" spans="1:2">
      <c r="A77" s="1198" t="s">
        <v>2489</v>
      </c>
      <c r="B77" s="1199" t="str">
        <f t="shared" si="1"/>
        <v>88雇用保険失業給付の支給状況</v>
      </c>
    </row>
    <row r="78" spans="1:2">
      <c r="A78" s="1198" t="s">
        <v>2490</v>
      </c>
      <c r="B78" s="1199" t="str">
        <f t="shared" si="1"/>
        <v>89附属施設の利用状況</v>
      </c>
    </row>
    <row r="79" spans="1:2">
      <c r="A79" s="1198" t="s">
        <v>2491</v>
      </c>
      <c r="B79" s="1199" t="str">
        <f t="shared" si="1"/>
        <v>90業種別・主な事故の型別労働災害発生状況</v>
      </c>
    </row>
    <row r="80" spans="1:2">
      <c r="A80" s="1198" t="s">
        <v>2492</v>
      </c>
      <c r="B80" s="1199" t="str">
        <f t="shared" si="1"/>
        <v>91保育施設</v>
      </c>
    </row>
    <row r="81" spans="1:2">
      <c r="A81" s="1198" t="s">
        <v>2493</v>
      </c>
      <c r="B81" s="1199" t="str">
        <f t="shared" si="1"/>
        <v>92保育園の入園児童の推移</v>
      </c>
    </row>
    <row r="82" spans="1:2">
      <c r="A82" s="1198" t="s">
        <v>2494</v>
      </c>
      <c r="B82" s="1199" t="str">
        <f t="shared" si="1"/>
        <v>93市民課窓口事務の処理状況</v>
      </c>
    </row>
    <row r="83" spans="1:2">
      <c r="A83" s="1198" t="s">
        <v>2495</v>
      </c>
      <c r="B83" s="1199" t="str">
        <f t="shared" si="1"/>
        <v>94国民健康保険被保険者数ほか</v>
      </c>
    </row>
    <row r="84" spans="1:2">
      <c r="A84" s="1198" t="s">
        <v>2496</v>
      </c>
      <c r="B84" s="1199" t="str">
        <f t="shared" si="1"/>
        <v>95福祉医療費特別給付金支給状況</v>
      </c>
    </row>
    <row r="85" spans="1:2">
      <c r="A85" s="1198" t="s">
        <v>2497</v>
      </c>
      <c r="B85" s="1199" t="str">
        <f t="shared" si="1"/>
        <v>96高齢者福祉の状況</v>
      </c>
    </row>
    <row r="86" spans="1:2">
      <c r="A86" s="1198" t="s">
        <v>2498</v>
      </c>
      <c r="B86" s="1199" t="str">
        <f t="shared" si="1"/>
        <v>97福祉施設の利用状況</v>
      </c>
    </row>
    <row r="87" spans="1:2">
      <c r="A87" s="1198" t="s">
        <v>2499</v>
      </c>
      <c r="B87" s="1199" t="str">
        <f t="shared" si="1"/>
        <v>98障がい別身体障がい者数の推移</v>
      </c>
    </row>
    <row r="88" spans="1:2">
      <c r="A88" s="1198" t="s">
        <v>2500</v>
      </c>
      <c r="B88" s="1199" t="str">
        <f t="shared" si="1"/>
        <v>99知的障がい者数の推移</v>
      </c>
    </row>
    <row r="89" spans="1:2">
      <c r="A89" s="1198" t="s">
        <v>2501</v>
      </c>
      <c r="B89" s="1199" t="str">
        <f t="shared" si="1"/>
        <v>100生活保護費の推移</v>
      </c>
    </row>
    <row r="90" spans="1:2">
      <c r="A90" s="1198" t="s">
        <v>2502</v>
      </c>
      <c r="B90" s="1199" t="str">
        <f t="shared" si="1"/>
        <v>101共同募金の状況</v>
      </c>
    </row>
    <row r="91" spans="1:2">
      <c r="A91" s="1198" t="s">
        <v>2503</v>
      </c>
      <c r="B91" s="1199" t="str">
        <f t="shared" si="1"/>
        <v>102医療施設数・医療従事者数の推移</v>
      </c>
    </row>
    <row r="92" spans="1:2">
      <c r="A92" s="1198" t="s">
        <v>2504</v>
      </c>
      <c r="B92" s="1199" t="str">
        <f t="shared" si="1"/>
        <v>103主な死因別死亡者数の推移</v>
      </c>
    </row>
    <row r="93" spans="1:2">
      <c r="A93" s="1198" t="s">
        <v>2505</v>
      </c>
      <c r="B93" s="1199" t="str">
        <f t="shared" si="1"/>
        <v>104市立大町総合病院の利用状況</v>
      </c>
    </row>
    <row r="94" spans="1:2">
      <c r="A94" s="1198" t="s">
        <v>2506</v>
      </c>
      <c r="B94" s="1199" t="str">
        <f t="shared" si="1"/>
        <v>105予防接種・検診等の状況</v>
      </c>
    </row>
    <row r="95" spans="1:2">
      <c r="A95" s="1198" t="s">
        <v>2507</v>
      </c>
      <c r="B95" s="1199" t="str">
        <f t="shared" si="1"/>
        <v>106ごみ処理の状況</v>
      </c>
    </row>
    <row r="96" spans="1:2">
      <c r="A96" s="1198" t="s">
        <v>2508</v>
      </c>
      <c r="B96" s="1199" t="str">
        <f t="shared" si="1"/>
        <v>107し尿処理の状況</v>
      </c>
    </row>
    <row r="97" spans="1:2">
      <c r="A97" s="1198" t="s">
        <v>2509</v>
      </c>
      <c r="B97" s="1199" t="str">
        <f t="shared" si="1"/>
        <v>108狂犬病予防法による犬の登録及び注射状況</v>
      </c>
    </row>
    <row r="98" spans="1:2">
      <c r="A98" s="1198" t="s">
        <v>2510</v>
      </c>
      <c r="B98" s="1199" t="str">
        <f t="shared" si="1"/>
        <v>109公害苦情処理件数</v>
      </c>
    </row>
    <row r="99" spans="1:2">
      <c r="A99" s="1198" t="s">
        <v>2511</v>
      </c>
      <c r="B99" s="1199" t="str">
        <f t="shared" si="1"/>
        <v>110北アルプス広域葬祭場の利用状況</v>
      </c>
    </row>
    <row r="100" spans="1:2">
      <c r="A100" s="1198" t="s">
        <v>2512</v>
      </c>
      <c r="B100" s="1199" t="str">
        <f t="shared" si="1"/>
        <v>111主要道路</v>
      </c>
    </row>
    <row r="101" spans="1:2">
      <c r="A101" s="1198" t="s">
        <v>2513</v>
      </c>
      <c r="B101" s="1199" t="str">
        <f t="shared" si="1"/>
        <v>112橋梁数</v>
      </c>
    </row>
    <row r="102" spans="1:2">
      <c r="A102" s="1198" t="s">
        <v>2514</v>
      </c>
      <c r="B102" s="1199" t="str">
        <f t="shared" si="1"/>
        <v>113主要河川</v>
      </c>
    </row>
    <row r="103" spans="1:2">
      <c r="A103" s="1198" t="s">
        <v>2515</v>
      </c>
      <c r="B103" s="1199" t="str">
        <f t="shared" si="1"/>
        <v>114都市計画区域</v>
      </c>
    </row>
    <row r="104" spans="1:2">
      <c r="A104" s="1198" t="s">
        <v>2516</v>
      </c>
      <c r="B104" s="1199" t="str">
        <f t="shared" si="1"/>
        <v>115地域地区</v>
      </c>
    </row>
    <row r="105" spans="1:2">
      <c r="A105" s="1198" t="s">
        <v>2517</v>
      </c>
      <c r="B105" s="1199" t="str">
        <f t="shared" si="1"/>
        <v>116都市計画用途地域</v>
      </c>
    </row>
    <row r="106" spans="1:2">
      <c r="A106" s="1198" t="s">
        <v>2518</v>
      </c>
      <c r="B106" s="1199" t="str">
        <f t="shared" si="1"/>
        <v>117都市計画区域内の用途地域の指定のない区域</v>
      </c>
    </row>
    <row r="107" spans="1:2">
      <c r="A107" s="1198" t="s">
        <v>2519</v>
      </c>
      <c r="B107" s="1199" t="str">
        <f t="shared" si="1"/>
        <v>118建築確認申請の状況</v>
      </c>
    </row>
    <row r="108" spans="1:2">
      <c r="A108" s="1198" t="s">
        <v>2520</v>
      </c>
      <c r="B108" s="1199" t="str">
        <f t="shared" si="1"/>
        <v>119都市施設</v>
      </c>
    </row>
    <row r="109" spans="1:2">
      <c r="A109" s="1198" t="s">
        <v>2521</v>
      </c>
      <c r="B109" s="1199" t="str">
        <f t="shared" si="1"/>
        <v>120水道事業普及状況・公営簡易水道事業普及状況</v>
      </c>
    </row>
    <row r="110" spans="1:2">
      <c r="A110" s="1198" t="s">
        <v>2522</v>
      </c>
      <c r="B110" s="1199" t="str">
        <f t="shared" si="1"/>
        <v>121水道事業配水量の推移・公営簡易水道事業配水量の推移</v>
      </c>
    </row>
    <row r="111" spans="1:2">
      <c r="A111" s="1198" t="s">
        <v>2523</v>
      </c>
      <c r="B111" s="1199" t="str">
        <f t="shared" si="1"/>
        <v>122水道事業用途別栓数と給水量</v>
      </c>
    </row>
    <row r="112" spans="1:2">
      <c r="A112" s="1198" t="s">
        <v>2524</v>
      </c>
      <c r="B112" s="1199" t="str">
        <f t="shared" si="1"/>
        <v>123水道事業水源施設状況・公営簡易水道事業水源施設状況</v>
      </c>
    </row>
    <row r="113" spans="1:2">
      <c r="A113" s="1198" t="s">
        <v>2525</v>
      </c>
      <c r="B113" s="1199" t="str">
        <f t="shared" si="1"/>
        <v>124都市ガスの需要状況</v>
      </c>
    </row>
    <row r="114" spans="1:2">
      <c r="A114" s="1198" t="s">
        <v>2526</v>
      </c>
      <c r="B114" s="1199" t="str">
        <f t="shared" si="1"/>
        <v>125信濃大町駅乗車人員の推移</v>
      </c>
    </row>
    <row r="115" spans="1:2">
      <c r="A115" s="1198" t="s">
        <v>2527</v>
      </c>
      <c r="B115" s="1199" t="str">
        <f t="shared" si="1"/>
        <v>126有線放送の利用状況</v>
      </c>
    </row>
    <row r="116" spans="1:2">
      <c r="A116" s="1198" t="s">
        <v>2528</v>
      </c>
      <c r="B116" s="1199" t="str">
        <f t="shared" si="1"/>
        <v>127自動車の保有台数</v>
      </c>
    </row>
    <row r="117" spans="1:2">
      <c r="A117" s="1198" t="s">
        <v>2529</v>
      </c>
      <c r="B117" s="1199" t="str">
        <f t="shared" si="1"/>
        <v>128金融機関の預金・貸出残高状況</v>
      </c>
    </row>
    <row r="118" spans="1:2">
      <c r="A118" s="1198" t="s">
        <v>2530</v>
      </c>
      <c r="B118" s="1199" t="str">
        <f t="shared" si="1"/>
        <v>129消費者物価指数</v>
      </c>
    </row>
    <row r="119" spans="1:2">
      <c r="A119" s="1198" t="s">
        <v>2531</v>
      </c>
      <c r="B119" s="1199" t="str">
        <f t="shared" si="1"/>
        <v>130制度資金の利用状況</v>
      </c>
    </row>
    <row r="120" spans="1:2">
      <c r="A120" s="1198" t="s">
        <v>2532</v>
      </c>
      <c r="B120" s="1199" t="str">
        <f t="shared" si="1"/>
        <v>131一人当たりの市民所得</v>
      </c>
    </row>
    <row r="121" spans="1:2">
      <c r="A121" s="1198" t="s">
        <v>2533</v>
      </c>
      <c r="B121" s="1199" t="str">
        <f t="shared" si="1"/>
        <v>132産業別市町村内総生産</v>
      </c>
    </row>
    <row r="122" spans="1:2">
      <c r="A122" s="1198" t="s">
        <v>2534</v>
      </c>
      <c r="B122" s="1199" t="str">
        <f t="shared" si="1"/>
        <v>133市町村民所得・可処分所得の分配</v>
      </c>
    </row>
    <row r="123" spans="1:2">
      <c r="A123" s="1198" t="s">
        <v>2535</v>
      </c>
      <c r="B123" s="1199" t="str">
        <f t="shared" si="1"/>
        <v>134消防施設と人員</v>
      </c>
    </row>
    <row r="124" spans="1:2">
      <c r="A124" s="1198" t="s">
        <v>2536</v>
      </c>
      <c r="B124" s="1199" t="str">
        <f t="shared" si="1"/>
        <v>135救急出動及び搬送状況</v>
      </c>
    </row>
    <row r="125" spans="1:2">
      <c r="A125" s="1198" t="s">
        <v>2537</v>
      </c>
      <c r="B125" s="1199" t="str">
        <f t="shared" si="1"/>
        <v>136出火原因別の出火件数</v>
      </c>
    </row>
    <row r="126" spans="1:2">
      <c r="A126" s="1198" t="s">
        <v>3714</v>
      </c>
      <c r="B126" s="1199" t="str">
        <f t="shared" si="1"/>
        <v>137火災の発生件数・焼失面積と損害額等</v>
      </c>
    </row>
    <row r="127" spans="1:2">
      <c r="A127" s="1198" t="s">
        <v>2538</v>
      </c>
      <c r="B127" s="1199" t="str">
        <f t="shared" si="1"/>
        <v>138山岳遭難事故の状況</v>
      </c>
    </row>
    <row r="128" spans="1:2">
      <c r="A128" s="1198" t="s">
        <v>2539</v>
      </c>
      <c r="B128" s="1199" t="str">
        <f t="shared" ref="B128:B135" si="2">+HYPERLINK("#"&amp;A128&amp;"!A1",A128)</f>
        <v>139交通違反</v>
      </c>
    </row>
    <row r="129" spans="1:2">
      <c r="A129" s="1198" t="s">
        <v>2540</v>
      </c>
      <c r="B129" s="1199" t="str">
        <f t="shared" si="2"/>
        <v>140交通事故</v>
      </c>
    </row>
    <row r="130" spans="1:2">
      <c r="A130" s="1198" t="s">
        <v>2541</v>
      </c>
      <c r="B130" s="1199" t="str">
        <f t="shared" si="2"/>
        <v>141刑法犯罪の発生件数と検挙件数</v>
      </c>
    </row>
    <row r="131" spans="1:2">
      <c r="A131" s="1198" t="s">
        <v>2542</v>
      </c>
      <c r="B131" s="1199" t="str">
        <f t="shared" si="2"/>
        <v>142民事事件の推移</v>
      </c>
    </row>
    <row r="132" spans="1:2">
      <c r="A132" s="1198" t="s">
        <v>2543</v>
      </c>
      <c r="B132" s="1199" t="str">
        <f t="shared" si="2"/>
        <v>143刑事事件の推移</v>
      </c>
    </row>
    <row r="133" spans="1:2">
      <c r="A133" s="1198" t="s">
        <v>2544</v>
      </c>
      <c r="B133" s="1199" t="str">
        <f t="shared" si="2"/>
        <v>144家事事件の推移</v>
      </c>
    </row>
    <row r="134" spans="1:2">
      <c r="A134" s="1198" t="s">
        <v>2545</v>
      </c>
      <c r="B134" s="1199" t="str">
        <f t="shared" si="2"/>
        <v>145観光客の入込数の推移</v>
      </c>
    </row>
    <row r="135" spans="1:2">
      <c r="A135" s="1198" t="s">
        <v>2546</v>
      </c>
      <c r="B135" s="1199" t="str">
        <f t="shared" si="2"/>
        <v>146スキー場観光客の入込数の推移</v>
      </c>
    </row>
    <row r="136" spans="1:2">
      <c r="A136" s="1198" t="s">
        <v>2547</v>
      </c>
      <c r="B136" s="1199" t="str">
        <f>+HYPERLINK("#"&amp;A136&amp;"!A1",A136)</f>
        <v>147観光地等の概要</v>
      </c>
    </row>
    <row r="137" spans="1:2">
      <c r="A137" s="1198" t="s">
        <v>2548</v>
      </c>
      <c r="B137" s="1199" t="str">
        <f t="shared" ref="B137:B141" si="3">+HYPERLINK("#"&amp;A137&amp;"!A1",A137)</f>
        <v>148北アルプスの紹介</v>
      </c>
    </row>
    <row r="138" spans="1:2">
      <c r="A138" s="1198" t="s">
        <v>2549</v>
      </c>
      <c r="B138" s="1199" t="str">
        <f t="shared" si="3"/>
        <v>149大町の山岳標高一覧</v>
      </c>
    </row>
    <row r="139" spans="1:2">
      <c r="A139" s="1198" t="s">
        <v>2550</v>
      </c>
      <c r="B139" s="1199" t="str">
        <f>+HYPERLINK("#"&amp;A139&amp;"!A1",A139)</f>
        <v>150大町市行政組織機構図</v>
      </c>
    </row>
    <row r="140" spans="1:2">
      <c r="A140" s="1198" t="s">
        <v>2551</v>
      </c>
      <c r="B140" s="1199" t="str">
        <f t="shared" si="3"/>
        <v>153体育施設</v>
      </c>
    </row>
    <row r="141" spans="1:2">
      <c r="A141" s="1198" t="s">
        <v>2552</v>
      </c>
      <c r="B141" s="1199" t="str">
        <f t="shared" si="3"/>
        <v>155山岳文化都市宣言</v>
      </c>
    </row>
  </sheetData>
  <phoneticPr fontId="4"/>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42B7F-053E-4A2B-9EC7-840403A5EF26}">
  <sheetPr codeName="Sheet21">
    <pageSetUpPr fitToPage="1"/>
  </sheetPr>
  <dimension ref="A1:JB33"/>
  <sheetViews>
    <sheetView workbookViewId="0">
      <selection activeCell="B1" sqref="B1"/>
    </sheetView>
  </sheetViews>
  <sheetFormatPr defaultColWidth="9" defaultRowHeight="18" customHeight="1"/>
  <cols>
    <col min="1" max="1" width="3.69921875" style="309" customWidth="1"/>
    <col min="2" max="2" width="28.8984375" style="309" bestFit="1" customWidth="1"/>
    <col min="3" max="20" width="6.5" style="309" customWidth="1"/>
    <col min="21" max="16384" width="9" style="309"/>
  </cols>
  <sheetData>
    <row r="1" spans="1:262" ht="30" customHeight="1" thickBot="1">
      <c r="A1" s="2140" t="s">
        <v>369</v>
      </c>
      <c r="B1" s="2140"/>
      <c r="C1" s="308"/>
      <c r="D1" s="308"/>
      <c r="E1" s="308"/>
      <c r="F1" s="308"/>
      <c r="G1" s="308"/>
      <c r="H1" s="308"/>
      <c r="J1" s="310"/>
      <c r="K1" s="310"/>
      <c r="Q1" s="311"/>
      <c r="T1" s="311" t="s">
        <v>370</v>
      </c>
    </row>
    <row r="2" spans="1:262" ht="18" customHeight="1">
      <c r="A2" s="2260" t="s">
        <v>371</v>
      </c>
      <c r="B2" s="2261"/>
      <c r="C2" s="2183" t="s">
        <v>372</v>
      </c>
      <c r="D2" s="2184"/>
      <c r="E2" s="2185"/>
      <c r="F2" s="2183" t="s">
        <v>373</v>
      </c>
      <c r="G2" s="2184"/>
      <c r="H2" s="2185"/>
      <c r="I2" s="2259" t="s">
        <v>374</v>
      </c>
      <c r="J2" s="2259"/>
      <c r="K2" s="2259"/>
      <c r="L2" s="2250" t="s">
        <v>375</v>
      </c>
      <c r="M2" s="2251"/>
      <c r="N2" s="2251"/>
      <c r="O2" s="2250" t="s">
        <v>376</v>
      </c>
      <c r="P2" s="2251"/>
      <c r="Q2" s="2252"/>
      <c r="R2" s="2250" t="s">
        <v>377</v>
      </c>
      <c r="S2" s="2251"/>
      <c r="T2" s="225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2"/>
      <c r="BR2" s="312"/>
      <c r="BS2" s="312"/>
      <c r="BT2" s="312"/>
      <c r="BU2" s="312"/>
      <c r="BV2" s="312"/>
      <c r="BW2" s="312"/>
      <c r="BX2" s="312"/>
      <c r="BY2" s="312"/>
      <c r="BZ2" s="312"/>
      <c r="CA2" s="312"/>
      <c r="CB2" s="312"/>
      <c r="CC2" s="312"/>
      <c r="CD2" s="312"/>
      <c r="CE2" s="312"/>
      <c r="CF2" s="312"/>
      <c r="CG2" s="312"/>
      <c r="CH2" s="312"/>
      <c r="CI2" s="312"/>
      <c r="CJ2" s="312"/>
      <c r="CK2" s="312"/>
      <c r="CL2" s="312"/>
      <c r="CM2" s="312"/>
      <c r="CN2" s="312"/>
      <c r="CO2" s="312"/>
      <c r="CP2" s="312"/>
      <c r="CQ2" s="312"/>
      <c r="CR2" s="312"/>
      <c r="CS2" s="312"/>
      <c r="CT2" s="312"/>
      <c r="CU2" s="312"/>
      <c r="CV2" s="312"/>
      <c r="CW2" s="312"/>
      <c r="CX2" s="312"/>
      <c r="CY2" s="312"/>
      <c r="CZ2" s="312"/>
      <c r="DA2" s="312"/>
      <c r="DB2" s="312"/>
      <c r="DC2" s="312"/>
      <c r="DD2" s="312"/>
      <c r="DE2" s="312"/>
      <c r="DF2" s="312"/>
      <c r="DG2" s="312"/>
      <c r="DH2" s="312"/>
      <c r="DI2" s="312"/>
      <c r="DJ2" s="312"/>
      <c r="DK2" s="312"/>
      <c r="DL2" s="312"/>
      <c r="DM2" s="312"/>
      <c r="DN2" s="312"/>
      <c r="DO2" s="312"/>
      <c r="DP2" s="312"/>
      <c r="DQ2" s="312"/>
      <c r="DR2" s="312"/>
      <c r="DS2" s="312"/>
      <c r="DT2" s="312"/>
      <c r="DU2" s="312"/>
      <c r="DV2" s="312"/>
      <c r="DW2" s="312"/>
      <c r="DX2" s="312"/>
      <c r="DY2" s="312"/>
      <c r="DZ2" s="312"/>
      <c r="EA2" s="312"/>
      <c r="EB2" s="312"/>
      <c r="EC2" s="312"/>
      <c r="ED2" s="312"/>
      <c r="EE2" s="312"/>
      <c r="EF2" s="312"/>
      <c r="EG2" s="312"/>
      <c r="EH2" s="312"/>
      <c r="EI2" s="312"/>
      <c r="EJ2" s="312"/>
      <c r="EK2" s="312"/>
      <c r="EL2" s="312"/>
      <c r="EM2" s="312"/>
      <c r="EN2" s="312"/>
      <c r="EO2" s="312"/>
      <c r="EP2" s="312"/>
      <c r="EQ2" s="312"/>
      <c r="ER2" s="312"/>
      <c r="ES2" s="312"/>
      <c r="ET2" s="312"/>
      <c r="EU2" s="312"/>
      <c r="EV2" s="312"/>
      <c r="EW2" s="312"/>
      <c r="EX2" s="312"/>
      <c r="EY2" s="312"/>
      <c r="EZ2" s="312"/>
      <c r="FA2" s="312"/>
      <c r="FB2" s="312"/>
      <c r="FC2" s="312"/>
      <c r="FD2" s="312"/>
      <c r="FE2" s="312"/>
      <c r="FF2" s="312"/>
      <c r="FG2" s="312"/>
      <c r="FH2" s="312"/>
      <c r="FI2" s="312"/>
      <c r="FJ2" s="312"/>
      <c r="FK2" s="312"/>
      <c r="FL2" s="312"/>
      <c r="FM2" s="312"/>
      <c r="FN2" s="312"/>
      <c r="FO2" s="312"/>
      <c r="FP2" s="312"/>
      <c r="FQ2" s="312"/>
      <c r="FR2" s="312"/>
      <c r="FS2" s="312"/>
      <c r="FT2" s="312"/>
      <c r="FU2" s="312"/>
      <c r="FV2" s="312"/>
      <c r="FW2" s="312"/>
      <c r="FX2" s="312"/>
      <c r="FY2" s="312"/>
      <c r="FZ2" s="312"/>
      <c r="GA2" s="312"/>
      <c r="GB2" s="312"/>
      <c r="GC2" s="312"/>
      <c r="GD2" s="312"/>
      <c r="GE2" s="312"/>
      <c r="GF2" s="312"/>
      <c r="GG2" s="312"/>
      <c r="GH2" s="312"/>
      <c r="GI2" s="312"/>
      <c r="GJ2" s="312"/>
      <c r="GK2" s="312"/>
      <c r="GL2" s="312"/>
      <c r="GM2" s="312"/>
      <c r="GN2" s="312"/>
      <c r="GO2" s="312"/>
      <c r="GP2" s="312"/>
      <c r="GQ2" s="312"/>
      <c r="GR2" s="312"/>
      <c r="GS2" s="312"/>
      <c r="GT2" s="312"/>
      <c r="GU2" s="312"/>
      <c r="GV2" s="312"/>
      <c r="GW2" s="312"/>
      <c r="GX2" s="312"/>
      <c r="GY2" s="312"/>
      <c r="GZ2" s="312"/>
      <c r="HA2" s="312"/>
      <c r="HB2" s="312"/>
      <c r="HC2" s="312"/>
      <c r="HD2" s="312"/>
      <c r="HE2" s="312"/>
      <c r="HF2" s="312"/>
      <c r="HG2" s="312"/>
      <c r="HH2" s="312"/>
      <c r="HI2" s="312"/>
      <c r="HJ2" s="312"/>
      <c r="HK2" s="312"/>
      <c r="HL2" s="312"/>
      <c r="HM2" s="312"/>
      <c r="HN2" s="312"/>
      <c r="HO2" s="312"/>
      <c r="HP2" s="312"/>
      <c r="HQ2" s="312"/>
      <c r="HR2" s="312"/>
      <c r="HS2" s="312"/>
      <c r="HT2" s="312"/>
      <c r="HU2" s="312"/>
      <c r="HV2" s="312"/>
      <c r="HW2" s="312"/>
      <c r="HX2" s="312"/>
      <c r="HY2" s="312"/>
      <c r="HZ2" s="312"/>
      <c r="IA2" s="312"/>
      <c r="IB2" s="312"/>
      <c r="IC2" s="312"/>
      <c r="ID2" s="312"/>
      <c r="IE2" s="312"/>
      <c r="IF2" s="312"/>
      <c r="IG2" s="312"/>
      <c r="IH2" s="312"/>
      <c r="II2" s="312"/>
      <c r="IJ2" s="312"/>
      <c r="IK2" s="312"/>
      <c r="IL2" s="312"/>
      <c r="IM2" s="312"/>
      <c r="IN2" s="312"/>
      <c r="IO2" s="312"/>
      <c r="IP2" s="312"/>
      <c r="IQ2" s="312"/>
      <c r="IR2" s="312"/>
      <c r="IS2" s="312"/>
      <c r="IT2" s="312"/>
      <c r="IU2" s="312"/>
      <c r="IV2" s="312"/>
      <c r="IW2" s="312"/>
      <c r="IX2" s="312"/>
      <c r="IY2" s="312"/>
      <c r="IZ2" s="312"/>
      <c r="JA2" s="312"/>
      <c r="JB2" s="312"/>
    </row>
    <row r="3" spans="1:262" ht="18" customHeight="1">
      <c r="A3" s="2255"/>
      <c r="B3" s="2256"/>
      <c r="C3" s="130" t="s">
        <v>378</v>
      </c>
      <c r="D3" s="130" t="s">
        <v>164</v>
      </c>
      <c r="E3" s="196" t="s">
        <v>165</v>
      </c>
      <c r="F3" s="130" t="s">
        <v>378</v>
      </c>
      <c r="G3" s="130" t="s">
        <v>164</v>
      </c>
      <c r="H3" s="196" t="s">
        <v>165</v>
      </c>
      <c r="I3" s="313" t="s">
        <v>378</v>
      </c>
      <c r="J3" s="313" t="s">
        <v>164</v>
      </c>
      <c r="K3" s="313" t="s">
        <v>165</v>
      </c>
      <c r="L3" s="313" t="s">
        <v>378</v>
      </c>
      <c r="M3" s="313" t="s">
        <v>164</v>
      </c>
      <c r="N3" s="314" t="s">
        <v>165</v>
      </c>
      <c r="O3" s="313" t="s">
        <v>378</v>
      </c>
      <c r="P3" s="313" t="s">
        <v>164</v>
      </c>
      <c r="Q3" s="315" t="s">
        <v>165</v>
      </c>
      <c r="R3" s="313" t="s">
        <v>378</v>
      </c>
      <c r="S3" s="313" t="s">
        <v>164</v>
      </c>
      <c r="T3" s="315" t="s">
        <v>165</v>
      </c>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c r="EX3" s="312"/>
      <c r="EY3" s="312"/>
      <c r="EZ3" s="312"/>
      <c r="FA3" s="312"/>
      <c r="FB3" s="312"/>
      <c r="FC3" s="312"/>
      <c r="FD3" s="312"/>
      <c r="FE3" s="312"/>
      <c r="FF3" s="312"/>
      <c r="FG3" s="312"/>
      <c r="FH3" s="312"/>
      <c r="FI3" s="312"/>
      <c r="FJ3" s="312"/>
      <c r="FK3" s="312"/>
      <c r="FL3" s="312"/>
      <c r="FM3" s="312"/>
      <c r="FN3" s="312"/>
      <c r="FO3" s="312"/>
      <c r="FP3" s="312"/>
      <c r="FQ3" s="312"/>
      <c r="FR3" s="312"/>
      <c r="FS3" s="312"/>
      <c r="FT3" s="312"/>
      <c r="FU3" s="312"/>
      <c r="FV3" s="312"/>
      <c r="FW3" s="312"/>
      <c r="FX3" s="312"/>
      <c r="FY3" s="312"/>
      <c r="FZ3" s="312"/>
      <c r="GA3" s="312"/>
      <c r="GB3" s="312"/>
      <c r="GC3" s="312"/>
      <c r="GD3" s="312"/>
      <c r="GE3" s="312"/>
      <c r="GF3" s="312"/>
      <c r="GG3" s="312"/>
      <c r="GH3" s="312"/>
      <c r="GI3" s="312"/>
      <c r="GJ3" s="312"/>
      <c r="GK3" s="312"/>
      <c r="GL3" s="312"/>
      <c r="GM3" s="312"/>
      <c r="GN3" s="312"/>
      <c r="GO3" s="312"/>
      <c r="GP3" s="312"/>
      <c r="GQ3" s="312"/>
      <c r="GR3" s="312"/>
      <c r="GS3" s="312"/>
      <c r="GT3" s="312"/>
      <c r="GU3" s="312"/>
      <c r="GV3" s="312"/>
      <c r="GW3" s="312"/>
      <c r="GX3" s="312"/>
      <c r="GY3" s="312"/>
      <c r="GZ3" s="312"/>
      <c r="HA3" s="312"/>
      <c r="HB3" s="312"/>
      <c r="HC3" s="312"/>
      <c r="HD3" s="312"/>
      <c r="HE3" s="312"/>
      <c r="HF3" s="312"/>
      <c r="HG3" s="312"/>
      <c r="HH3" s="312"/>
      <c r="HI3" s="312"/>
      <c r="HJ3" s="312"/>
      <c r="HK3" s="312"/>
      <c r="HL3" s="312"/>
      <c r="HM3" s="312"/>
      <c r="HN3" s="312"/>
      <c r="HO3" s="312"/>
      <c r="HP3" s="312"/>
      <c r="HQ3" s="312"/>
      <c r="HR3" s="312"/>
      <c r="HS3" s="312"/>
      <c r="HT3" s="312"/>
      <c r="HU3" s="312"/>
      <c r="HV3" s="312"/>
      <c r="HW3" s="312"/>
      <c r="HX3" s="312"/>
      <c r="HY3" s="312"/>
      <c r="HZ3" s="312"/>
      <c r="IA3" s="312"/>
      <c r="IB3" s="312"/>
      <c r="IC3" s="312"/>
      <c r="ID3" s="312"/>
      <c r="IE3" s="312"/>
      <c r="IF3" s="312"/>
      <c r="IG3" s="312"/>
      <c r="IH3" s="312"/>
      <c r="II3" s="312"/>
      <c r="IJ3" s="312"/>
      <c r="IK3" s="312"/>
      <c r="IL3" s="312"/>
      <c r="IM3" s="312"/>
      <c r="IN3" s="312"/>
      <c r="IO3" s="312"/>
      <c r="IP3" s="312"/>
      <c r="IQ3" s="312"/>
      <c r="IR3" s="312"/>
      <c r="IS3" s="312"/>
      <c r="IT3" s="312"/>
      <c r="IU3" s="312"/>
      <c r="IV3" s="312"/>
      <c r="IW3" s="312"/>
      <c r="IX3" s="312"/>
      <c r="IY3" s="312"/>
      <c r="IZ3" s="312"/>
      <c r="JA3" s="312"/>
      <c r="JB3" s="312"/>
    </row>
    <row r="4" spans="1:262" ht="18" customHeight="1">
      <c r="A4" s="2253" t="s">
        <v>379</v>
      </c>
      <c r="B4" s="2254"/>
      <c r="C4" s="98" t="s">
        <v>167</v>
      </c>
      <c r="D4" s="98" t="s">
        <v>167</v>
      </c>
      <c r="E4" s="34" t="s">
        <v>167</v>
      </c>
      <c r="F4" s="98" t="s">
        <v>167</v>
      </c>
      <c r="G4" s="98" t="s">
        <v>167</v>
      </c>
      <c r="H4" s="34" t="s">
        <v>167</v>
      </c>
      <c r="I4" s="316" t="s">
        <v>167</v>
      </c>
      <c r="J4" s="316" t="s">
        <v>167</v>
      </c>
      <c r="K4" s="316" t="s">
        <v>167</v>
      </c>
      <c r="L4" s="316" t="s">
        <v>167</v>
      </c>
      <c r="M4" s="316" t="s">
        <v>167</v>
      </c>
      <c r="N4" s="317" t="s">
        <v>167</v>
      </c>
      <c r="O4" s="316" t="s">
        <v>167</v>
      </c>
      <c r="P4" s="316" t="s">
        <v>167</v>
      </c>
      <c r="Q4" s="318" t="s">
        <v>167</v>
      </c>
      <c r="R4" s="316" t="s">
        <v>167</v>
      </c>
      <c r="S4" s="316" t="s">
        <v>167</v>
      </c>
      <c r="T4" s="318" t="s">
        <v>167</v>
      </c>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c r="BR4" s="312"/>
      <c r="BS4" s="312"/>
      <c r="BT4" s="312"/>
      <c r="BU4" s="312"/>
      <c r="BV4" s="312"/>
      <c r="BW4" s="312"/>
      <c r="BX4" s="312"/>
      <c r="BY4" s="312"/>
      <c r="BZ4" s="312"/>
      <c r="CA4" s="312"/>
      <c r="CB4" s="312"/>
      <c r="CC4" s="312"/>
      <c r="CD4" s="312"/>
      <c r="CE4" s="312"/>
      <c r="CF4" s="312"/>
      <c r="CG4" s="312"/>
      <c r="CH4" s="312"/>
      <c r="CI4" s="312"/>
      <c r="CJ4" s="312"/>
      <c r="CK4" s="312"/>
      <c r="CL4" s="312"/>
      <c r="CM4" s="312"/>
      <c r="CN4" s="312"/>
      <c r="CO4" s="312"/>
      <c r="CP4" s="312"/>
      <c r="CQ4" s="312"/>
      <c r="CR4" s="312"/>
      <c r="CS4" s="312"/>
      <c r="CT4" s="312"/>
      <c r="CU4" s="312"/>
      <c r="CV4" s="312"/>
      <c r="CW4" s="312"/>
      <c r="CX4" s="312"/>
      <c r="CY4" s="312"/>
      <c r="CZ4" s="312"/>
      <c r="DA4" s="312"/>
      <c r="DB4" s="312"/>
      <c r="DC4" s="312"/>
      <c r="DD4" s="312"/>
      <c r="DE4" s="312"/>
      <c r="DF4" s="312"/>
      <c r="DG4" s="312"/>
      <c r="DH4" s="312"/>
      <c r="DI4" s="312"/>
      <c r="DJ4" s="312"/>
      <c r="DK4" s="312"/>
      <c r="DL4" s="312"/>
      <c r="DM4" s="312"/>
      <c r="DN4" s="312"/>
      <c r="DO4" s="312"/>
      <c r="DP4" s="312"/>
      <c r="DQ4" s="312"/>
      <c r="DR4" s="312"/>
      <c r="DS4" s="312"/>
      <c r="DT4" s="312"/>
      <c r="DU4" s="312"/>
      <c r="DV4" s="312"/>
      <c r="DW4" s="312"/>
      <c r="DX4" s="312"/>
      <c r="DY4" s="312"/>
      <c r="DZ4" s="312"/>
      <c r="EA4" s="312"/>
      <c r="EB4" s="312"/>
      <c r="EC4" s="312"/>
      <c r="ED4" s="312"/>
      <c r="EE4" s="312"/>
      <c r="EF4" s="312"/>
      <c r="EG4" s="312"/>
      <c r="EH4" s="312"/>
      <c r="EI4" s="312"/>
      <c r="EJ4" s="312"/>
      <c r="EK4" s="312"/>
      <c r="EL4" s="312"/>
      <c r="EM4" s="312"/>
      <c r="EN4" s="312"/>
      <c r="EO4" s="312"/>
      <c r="EP4" s="312"/>
      <c r="EQ4" s="312"/>
      <c r="ER4" s="312"/>
      <c r="ES4" s="312"/>
      <c r="ET4" s="312"/>
      <c r="EU4" s="312"/>
      <c r="EV4" s="312"/>
      <c r="EW4" s="312"/>
      <c r="EX4" s="312"/>
      <c r="EY4" s="312"/>
      <c r="EZ4" s="312"/>
      <c r="FA4" s="312"/>
      <c r="FB4" s="312"/>
      <c r="FC4" s="312"/>
      <c r="FD4" s="312"/>
      <c r="FE4" s="312"/>
      <c r="FF4" s="312"/>
      <c r="FG4" s="312"/>
      <c r="FH4" s="312"/>
      <c r="FI4" s="312"/>
      <c r="FJ4" s="312"/>
      <c r="FK4" s="312"/>
      <c r="FL4" s="312"/>
      <c r="FM4" s="312"/>
      <c r="FN4" s="312"/>
      <c r="FO4" s="312"/>
      <c r="FP4" s="312"/>
      <c r="FQ4" s="312"/>
      <c r="FR4" s="312"/>
      <c r="FS4" s="312"/>
      <c r="FT4" s="312"/>
      <c r="FU4" s="312"/>
      <c r="FV4" s="312"/>
      <c r="FW4" s="312"/>
      <c r="FX4" s="312"/>
      <c r="FY4" s="312"/>
      <c r="FZ4" s="312"/>
      <c r="GA4" s="312"/>
      <c r="GB4" s="312"/>
      <c r="GC4" s="312"/>
      <c r="GD4" s="312"/>
      <c r="GE4" s="312"/>
      <c r="GF4" s="312"/>
      <c r="GG4" s="312"/>
      <c r="GH4" s="312"/>
      <c r="GI4" s="312"/>
      <c r="GJ4" s="312"/>
      <c r="GK4" s="312"/>
      <c r="GL4" s="312"/>
      <c r="GM4" s="312"/>
      <c r="GN4" s="312"/>
      <c r="GO4" s="312"/>
      <c r="GP4" s="312"/>
      <c r="GQ4" s="312"/>
      <c r="GR4" s="312"/>
      <c r="GS4" s="312"/>
      <c r="GT4" s="312"/>
      <c r="GU4" s="312"/>
      <c r="GV4" s="312"/>
      <c r="GW4" s="312"/>
      <c r="GX4" s="312"/>
      <c r="GY4" s="312"/>
      <c r="GZ4" s="312"/>
      <c r="HA4" s="312"/>
      <c r="HB4" s="312"/>
      <c r="HC4" s="312"/>
      <c r="HD4" s="312"/>
      <c r="HE4" s="312"/>
      <c r="HF4" s="312"/>
      <c r="HG4" s="312"/>
      <c r="HH4" s="312"/>
      <c r="HI4" s="312"/>
      <c r="HJ4" s="312"/>
      <c r="HK4" s="312"/>
      <c r="HL4" s="312"/>
      <c r="HM4" s="312"/>
      <c r="HN4" s="312"/>
      <c r="HO4" s="312"/>
      <c r="HP4" s="312"/>
      <c r="HQ4" s="312"/>
      <c r="HR4" s="312"/>
      <c r="HS4" s="312"/>
      <c r="HT4" s="312"/>
      <c r="HU4" s="312"/>
      <c r="HV4" s="312"/>
      <c r="HW4" s="312"/>
      <c r="HX4" s="312"/>
      <c r="HY4" s="312"/>
      <c r="HZ4" s="312"/>
      <c r="IA4" s="312"/>
      <c r="IB4" s="312"/>
      <c r="IC4" s="312"/>
      <c r="ID4" s="312"/>
      <c r="IE4" s="312"/>
      <c r="IF4" s="312"/>
      <c r="IG4" s="312"/>
      <c r="IH4" s="312"/>
      <c r="II4" s="312"/>
      <c r="IJ4" s="312"/>
      <c r="IK4" s="312"/>
      <c r="IL4" s="312"/>
      <c r="IM4" s="312"/>
      <c r="IN4" s="312"/>
      <c r="IO4" s="312"/>
      <c r="IP4" s="312"/>
      <c r="IQ4" s="312"/>
      <c r="IR4" s="312"/>
      <c r="IS4" s="312"/>
      <c r="IT4" s="312"/>
      <c r="IU4" s="312"/>
      <c r="IV4" s="312"/>
      <c r="IW4" s="312"/>
      <c r="IX4" s="312"/>
      <c r="IY4" s="312"/>
      <c r="IZ4" s="312"/>
      <c r="JA4" s="312"/>
      <c r="JB4" s="312"/>
    </row>
    <row r="5" spans="1:262" ht="18" customHeight="1">
      <c r="A5" s="2255"/>
      <c r="B5" s="2256"/>
      <c r="C5" s="198">
        <v>18907</v>
      </c>
      <c r="D5" s="198">
        <v>10974</v>
      </c>
      <c r="E5" s="199">
        <v>7933</v>
      </c>
      <c r="F5" s="198">
        <v>18170</v>
      </c>
      <c r="G5" s="198">
        <v>10493</v>
      </c>
      <c r="H5" s="199">
        <v>7677</v>
      </c>
      <c r="I5" s="198">
        <f t="shared" ref="I5:N5" si="0">SUM(I6,I10,I14,I29)</f>
        <v>16655</v>
      </c>
      <c r="J5" s="198">
        <f t="shared" si="0"/>
        <v>9454</v>
      </c>
      <c r="K5" s="198">
        <f t="shared" si="0"/>
        <v>7201</v>
      </c>
      <c r="L5" s="319">
        <f t="shared" si="0"/>
        <v>14812</v>
      </c>
      <c r="M5" s="319">
        <f t="shared" si="0"/>
        <v>8388</v>
      </c>
      <c r="N5" s="320">
        <f t="shared" si="0"/>
        <v>6424</v>
      </c>
      <c r="O5" s="198">
        <v>14018</v>
      </c>
      <c r="P5" s="198">
        <v>7818</v>
      </c>
      <c r="Q5" s="199">
        <v>6200</v>
      </c>
      <c r="R5" s="319">
        <f>+R6+R10+R14+R29</f>
        <v>12168</v>
      </c>
      <c r="S5" s="319">
        <f t="shared" ref="S5:T5" si="1">+S6+S10+S14+S29</f>
        <v>6634</v>
      </c>
      <c r="T5" s="319">
        <f t="shared" si="1"/>
        <v>5534</v>
      </c>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c r="BR5" s="312"/>
      <c r="BS5" s="312"/>
      <c r="BT5" s="312"/>
      <c r="BU5" s="312"/>
      <c r="BV5" s="312"/>
      <c r="BW5" s="312"/>
      <c r="BX5" s="312"/>
      <c r="BY5" s="312"/>
      <c r="BZ5" s="312"/>
      <c r="CA5" s="312"/>
      <c r="CB5" s="312"/>
      <c r="CC5" s="312"/>
      <c r="CD5" s="312"/>
      <c r="CE5" s="312"/>
      <c r="CF5" s="312"/>
      <c r="CG5" s="312"/>
      <c r="CH5" s="312"/>
      <c r="CI5" s="312"/>
      <c r="CJ5" s="312"/>
      <c r="CK5" s="312"/>
      <c r="CL5" s="312"/>
      <c r="CM5" s="312"/>
      <c r="CN5" s="312"/>
      <c r="CO5" s="312"/>
      <c r="CP5" s="312"/>
      <c r="CQ5" s="312"/>
      <c r="CR5" s="312"/>
      <c r="CS5" s="312"/>
      <c r="CT5" s="312"/>
      <c r="CU5" s="312"/>
      <c r="CV5" s="312"/>
      <c r="CW5" s="312"/>
      <c r="CX5" s="312"/>
      <c r="CY5" s="312"/>
      <c r="CZ5" s="312"/>
      <c r="DA5" s="312"/>
      <c r="DB5" s="312"/>
      <c r="DC5" s="312"/>
      <c r="DD5" s="312"/>
      <c r="DE5" s="312"/>
      <c r="DF5" s="312"/>
      <c r="DG5" s="312"/>
      <c r="DH5" s="312"/>
      <c r="DI5" s="312"/>
      <c r="DJ5" s="312"/>
      <c r="DK5" s="312"/>
      <c r="DL5" s="312"/>
      <c r="DM5" s="312"/>
      <c r="DN5" s="312"/>
      <c r="DO5" s="312"/>
      <c r="DP5" s="312"/>
      <c r="DQ5" s="312"/>
      <c r="DR5" s="312"/>
      <c r="DS5" s="312"/>
      <c r="DT5" s="312"/>
      <c r="DU5" s="312"/>
      <c r="DV5" s="312"/>
      <c r="DW5" s="312"/>
      <c r="DX5" s="312"/>
      <c r="DY5" s="312"/>
      <c r="DZ5" s="312"/>
      <c r="EA5" s="312"/>
      <c r="EB5" s="312"/>
      <c r="EC5" s="312"/>
      <c r="ED5" s="312"/>
      <c r="EE5" s="312"/>
      <c r="EF5" s="312"/>
      <c r="EG5" s="312"/>
      <c r="EH5" s="312"/>
      <c r="EI5" s="312"/>
      <c r="EJ5" s="312"/>
      <c r="EK5" s="312"/>
      <c r="EL5" s="312"/>
      <c r="EM5" s="312"/>
      <c r="EN5" s="312"/>
      <c r="EO5" s="312"/>
      <c r="EP5" s="312"/>
      <c r="EQ5" s="312"/>
      <c r="ER5" s="312"/>
      <c r="ES5" s="312"/>
      <c r="ET5" s="312"/>
      <c r="EU5" s="312"/>
      <c r="EV5" s="312"/>
      <c r="EW5" s="312"/>
      <c r="EX5" s="312"/>
      <c r="EY5" s="312"/>
      <c r="EZ5" s="312"/>
      <c r="FA5" s="312"/>
      <c r="FB5" s="312"/>
      <c r="FC5" s="312"/>
      <c r="FD5" s="312"/>
      <c r="FE5" s="312"/>
      <c r="FF5" s="312"/>
      <c r="FG5" s="312"/>
      <c r="FH5" s="312"/>
      <c r="FI5" s="312"/>
      <c r="FJ5" s="312"/>
      <c r="FK5" s="312"/>
      <c r="FL5" s="312"/>
      <c r="FM5" s="312"/>
      <c r="FN5" s="312"/>
      <c r="FO5" s="312"/>
      <c r="FP5" s="312"/>
      <c r="FQ5" s="312"/>
      <c r="FR5" s="312"/>
      <c r="FS5" s="312"/>
      <c r="FT5" s="312"/>
      <c r="FU5" s="312"/>
      <c r="FV5" s="312"/>
      <c r="FW5" s="312"/>
      <c r="FX5" s="312"/>
      <c r="FY5" s="312"/>
      <c r="FZ5" s="312"/>
      <c r="GA5" s="312"/>
      <c r="GB5" s="312"/>
      <c r="GC5" s="312"/>
      <c r="GD5" s="312"/>
      <c r="GE5" s="312"/>
      <c r="GF5" s="312"/>
      <c r="GG5" s="312"/>
      <c r="GH5" s="312"/>
      <c r="GI5" s="312"/>
      <c r="GJ5" s="312"/>
      <c r="GK5" s="312"/>
      <c r="GL5" s="312"/>
      <c r="GM5" s="312"/>
      <c r="GN5" s="312"/>
      <c r="GO5" s="312"/>
      <c r="GP5" s="312"/>
      <c r="GQ5" s="312"/>
      <c r="GR5" s="312"/>
      <c r="GS5" s="312"/>
      <c r="GT5" s="312"/>
      <c r="GU5" s="312"/>
      <c r="GV5" s="312"/>
      <c r="GW5" s="312"/>
      <c r="GX5" s="312"/>
      <c r="GY5" s="312"/>
      <c r="GZ5" s="312"/>
      <c r="HA5" s="312"/>
      <c r="HB5" s="312"/>
      <c r="HC5" s="312"/>
      <c r="HD5" s="312"/>
      <c r="HE5" s="312"/>
      <c r="HF5" s="312"/>
      <c r="HG5" s="312"/>
      <c r="HH5" s="312"/>
      <c r="HI5" s="312"/>
      <c r="HJ5" s="312"/>
      <c r="HK5" s="312"/>
      <c r="HL5" s="312"/>
      <c r="HM5" s="312"/>
      <c r="HN5" s="312"/>
      <c r="HO5" s="312"/>
      <c r="HP5" s="312"/>
      <c r="HQ5" s="312"/>
      <c r="HR5" s="312"/>
      <c r="HS5" s="312"/>
      <c r="HT5" s="312"/>
      <c r="HU5" s="312"/>
      <c r="HV5" s="312"/>
      <c r="HW5" s="312"/>
      <c r="HX5" s="312"/>
      <c r="HY5" s="312"/>
      <c r="HZ5" s="312"/>
      <c r="IA5" s="312"/>
      <c r="IB5" s="312"/>
      <c r="IC5" s="312"/>
      <c r="ID5" s="312"/>
      <c r="IE5" s="312"/>
      <c r="IF5" s="312"/>
      <c r="IG5" s="312"/>
      <c r="IH5" s="312"/>
      <c r="II5" s="312"/>
      <c r="IJ5" s="312"/>
      <c r="IK5" s="312"/>
      <c r="IL5" s="312"/>
      <c r="IM5" s="312"/>
      <c r="IN5" s="312"/>
      <c r="IO5" s="312"/>
      <c r="IP5" s="312"/>
      <c r="IQ5" s="312"/>
      <c r="IR5" s="312"/>
      <c r="IS5" s="312"/>
      <c r="IT5" s="312"/>
      <c r="IU5" s="312"/>
      <c r="IV5" s="312"/>
      <c r="IW5" s="312"/>
      <c r="IX5" s="312"/>
      <c r="IY5" s="312"/>
      <c r="IZ5" s="312"/>
      <c r="JA5" s="312"/>
      <c r="JB5" s="312"/>
    </row>
    <row r="6" spans="1:262" ht="18" customHeight="1">
      <c r="A6" s="2257" t="s">
        <v>380</v>
      </c>
      <c r="B6" s="2258"/>
      <c r="C6" s="111">
        <v>1864</v>
      </c>
      <c r="D6" s="111">
        <v>961</v>
      </c>
      <c r="E6" s="190">
        <v>903</v>
      </c>
      <c r="F6" s="111">
        <v>1686</v>
      </c>
      <c r="G6" s="111">
        <v>869</v>
      </c>
      <c r="H6" s="190">
        <v>817</v>
      </c>
      <c r="I6" s="111">
        <v>1797</v>
      </c>
      <c r="J6" s="111">
        <v>969</v>
      </c>
      <c r="K6" s="111">
        <v>828</v>
      </c>
      <c r="L6" s="321">
        <v>1363</v>
      </c>
      <c r="M6" s="321">
        <v>790</v>
      </c>
      <c r="N6" s="322">
        <v>573</v>
      </c>
      <c r="O6" s="111">
        <v>1228</v>
      </c>
      <c r="P6" s="111">
        <v>722</v>
      </c>
      <c r="Q6" s="190">
        <v>506</v>
      </c>
      <c r="R6" s="321">
        <f>+SUM(R7:R9)</f>
        <v>1083</v>
      </c>
      <c r="S6" s="321">
        <f t="shared" ref="S6:T6" si="2">+SUM(S7:S9)</f>
        <v>608</v>
      </c>
      <c r="T6" s="321">
        <f t="shared" si="2"/>
        <v>475</v>
      </c>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c r="BR6" s="312"/>
      <c r="BS6" s="312"/>
      <c r="BT6" s="312"/>
      <c r="BU6" s="312"/>
      <c r="BV6" s="312"/>
      <c r="BW6" s="312"/>
      <c r="BX6" s="312"/>
      <c r="BY6" s="312"/>
      <c r="BZ6" s="312"/>
      <c r="CA6" s="312"/>
      <c r="CB6" s="312"/>
      <c r="CC6" s="312"/>
      <c r="CD6" s="312"/>
      <c r="CE6" s="312"/>
      <c r="CF6" s="312"/>
      <c r="CG6" s="312"/>
      <c r="CH6" s="312"/>
      <c r="CI6" s="312"/>
      <c r="CJ6" s="312"/>
      <c r="CK6" s="312"/>
      <c r="CL6" s="312"/>
      <c r="CM6" s="312"/>
      <c r="CN6" s="312"/>
      <c r="CO6" s="312"/>
      <c r="CP6" s="312"/>
      <c r="CQ6" s="312"/>
      <c r="CR6" s="312"/>
      <c r="CS6" s="312"/>
      <c r="CT6" s="312"/>
      <c r="CU6" s="312"/>
      <c r="CV6" s="312"/>
      <c r="CW6" s="312"/>
      <c r="CX6" s="312"/>
      <c r="CY6" s="312"/>
      <c r="CZ6" s="312"/>
      <c r="DA6" s="312"/>
      <c r="DB6" s="312"/>
      <c r="DC6" s="312"/>
      <c r="DD6" s="312"/>
      <c r="DE6" s="312"/>
      <c r="DF6" s="312"/>
      <c r="DG6" s="312"/>
      <c r="DH6" s="312"/>
      <c r="DI6" s="312"/>
      <c r="DJ6" s="312"/>
      <c r="DK6" s="312"/>
      <c r="DL6" s="312"/>
      <c r="DM6" s="312"/>
      <c r="DN6" s="312"/>
      <c r="DO6" s="312"/>
      <c r="DP6" s="312"/>
      <c r="DQ6" s="312"/>
      <c r="DR6" s="312"/>
      <c r="DS6" s="312"/>
      <c r="DT6" s="312"/>
      <c r="DU6" s="312"/>
      <c r="DV6" s="312"/>
      <c r="DW6" s="312"/>
      <c r="DX6" s="312"/>
      <c r="DY6" s="312"/>
      <c r="DZ6" s="312"/>
      <c r="EA6" s="312"/>
      <c r="EB6" s="312"/>
      <c r="EC6" s="312"/>
      <c r="ED6" s="312"/>
      <c r="EE6" s="312"/>
      <c r="EF6" s="312"/>
      <c r="EG6" s="312"/>
      <c r="EH6" s="312"/>
      <c r="EI6" s="312"/>
      <c r="EJ6" s="312"/>
      <c r="EK6" s="312"/>
      <c r="EL6" s="312"/>
      <c r="EM6" s="312"/>
      <c r="EN6" s="312"/>
      <c r="EO6" s="312"/>
      <c r="EP6" s="312"/>
      <c r="EQ6" s="312"/>
      <c r="ER6" s="312"/>
      <c r="ES6" s="312"/>
      <c r="ET6" s="312"/>
      <c r="EU6" s="312"/>
      <c r="EV6" s="312"/>
      <c r="EW6" s="312"/>
      <c r="EX6" s="312"/>
      <c r="EY6" s="312"/>
      <c r="EZ6" s="312"/>
      <c r="FA6" s="312"/>
      <c r="FB6" s="312"/>
      <c r="FC6" s="312"/>
      <c r="FD6" s="312"/>
      <c r="FE6" s="312"/>
      <c r="FF6" s="312"/>
      <c r="FG6" s="312"/>
      <c r="FH6" s="312"/>
      <c r="FI6" s="312"/>
      <c r="FJ6" s="312"/>
      <c r="FK6" s="312"/>
      <c r="FL6" s="312"/>
      <c r="FM6" s="312"/>
      <c r="FN6" s="312"/>
      <c r="FO6" s="312"/>
      <c r="FP6" s="312"/>
      <c r="FQ6" s="312"/>
      <c r="FR6" s="312"/>
      <c r="FS6" s="312"/>
      <c r="FT6" s="312"/>
      <c r="FU6" s="312"/>
      <c r="FV6" s="312"/>
      <c r="FW6" s="312"/>
      <c r="FX6" s="312"/>
      <c r="FY6" s="312"/>
      <c r="FZ6" s="312"/>
      <c r="GA6" s="312"/>
      <c r="GB6" s="312"/>
      <c r="GC6" s="312"/>
      <c r="GD6" s="312"/>
      <c r="GE6" s="312"/>
      <c r="GF6" s="312"/>
      <c r="GG6" s="312"/>
      <c r="GH6" s="312"/>
      <c r="GI6" s="312"/>
      <c r="GJ6" s="312"/>
      <c r="GK6" s="312"/>
      <c r="GL6" s="312"/>
      <c r="GM6" s="312"/>
      <c r="GN6" s="312"/>
      <c r="GO6" s="312"/>
      <c r="GP6" s="312"/>
      <c r="GQ6" s="312"/>
      <c r="GR6" s="312"/>
      <c r="GS6" s="312"/>
      <c r="GT6" s="312"/>
      <c r="GU6" s="312"/>
      <c r="GV6" s="312"/>
      <c r="GW6" s="312"/>
      <c r="GX6" s="312"/>
      <c r="GY6" s="312"/>
      <c r="GZ6" s="312"/>
      <c r="HA6" s="312"/>
      <c r="HB6" s="312"/>
      <c r="HC6" s="312"/>
      <c r="HD6" s="312"/>
      <c r="HE6" s="312"/>
      <c r="HF6" s="312"/>
      <c r="HG6" s="312"/>
      <c r="HH6" s="312"/>
      <c r="HI6" s="312"/>
      <c r="HJ6" s="312"/>
      <c r="HK6" s="312"/>
      <c r="HL6" s="312"/>
      <c r="HM6" s="312"/>
      <c r="HN6" s="312"/>
      <c r="HO6" s="312"/>
      <c r="HP6" s="312"/>
      <c r="HQ6" s="312"/>
      <c r="HR6" s="312"/>
      <c r="HS6" s="312"/>
      <c r="HT6" s="312"/>
      <c r="HU6" s="312"/>
      <c r="HV6" s="312"/>
      <c r="HW6" s="312"/>
      <c r="HX6" s="312"/>
      <c r="HY6" s="312"/>
      <c r="HZ6" s="312"/>
      <c r="IA6" s="312"/>
      <c r="IB6" s="312"/>
      <c r="IC6" s="312"/>
      <c r="ID6" s="312"/>
      <c r="IE6" s="312"/>
      <c r="IF6" s="312"/>
      <c r="IG6" s="312"/>
      <c r="IH6" s="312"/>
      <c r="II6" s="312"/>
      <c r="IJ6" s="312"/>
      <c r="IK6" s="312"/>
      <c r="IL6" s="312"/>
      <c r="IM6" s="312"/>
      <c r="IN6" s="312"/>
      <c r="IO6" s="312"/>
      <c r="IP6" s="312"/>
      <c r="IQ6" s="312"/>
      <c r="IR6" s="312"/>
      <c r="IS6" s="312"/>
      <c r="IT6" s="312"/>
      <c r="IU6" s="312"/>
      <c r="IV6" s="312"/>
      <c r="IW6" s="312"/>
      <c r="IX6" s="312"/>
      <c r="IY6" s="312"/>
      <c r="IZ6" s="312"/>
      <c r="JA6" s="312"/>
      <c r="JB6" s="312"/>
    </row>
    <row r="7" spans="1:262" ht="18" customHeight="1">
      <c r="A7" s="317"/>
      <c r="B7" s="323" t="s">
        <v>381</v>
      </c>
      <c r="C7" s="111">
        <v>1783</v>
      </c>
      <c r="D7" s="111">
        <v>893</v>
      </c>
      <c r="E7" s="190">
        <v>890</v>
      </c>
      <c r="F7" s="111">
        <v>1615</v>
      </c>
      <c r="G7" s="111">
        <v>808</v>
      </c>
      <c r="H7" s="190">
        <v>807</v>
      </c>
      <c r="I7" s="111">
        <v>1743</v>
      </c>
      <c r="J7" s="111">
        <v>918</v>
      </c>
      <c r="K7" s="111">
        <v>825</v>
      </c>
      <c r="L7" s="321">
        <v>1262</v>
      </c>
      <c r="M7" s="321">
        <v>701</v>
      </c>
      <c r="N7" s="322">
        <v>561</v>
      </c>
      <c r="O7" s="111">
        <v>1150</v>
      </c>
      <c r="P7" s="111">
        <v>658</v>
      </c>
      <c r="Q7" s="190">
        <v>492</v>
      </c>
      <c r="R7" s="321">
        <v>1021</v>
      </c>
      <c r="S7" s="321">
        <v>554</v>
      </c>
      <c r="T7" s="324">
        <v>467</v>
      </c>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312"/>
      <c r="BL7" s="312"/>
      <c r="BM7" s="312"/>
      <c r="BN7" s="312"/>
      <c r="BO7" s="312"/>
      <c r="BP7" s="312"/>
      <c r="BQ7" s="312"/>
      <c r="BR7" s="312"/>
      <c r="BS7" s="312"/>
      <c r="BT7" s="312"/>
      <c r="BU7" s="312"/>
      <c r="BV7" s="312"/>
      <c r="BW7" s="312"/>
      <c r="BX7" s="312"/>
      <c r="BY7" s="312"/>
      <c r="BZ7" s="312"/>
      <c r="CA7" s="312"/>
      <c r="CB7" s="312"/>
      <c r="CC7" s="312"/>
      <c r="CD7" s="312"/>
      <c r="CE7" s="312"/>
      <c r="CF7" s="312"/>
      <c r="CG7" s="312"/>
      <c r="CH7" s="312"/>
      <c r="CI7" s="312"/>
      <c r="CJ7" s="312"/>
      <c r="CK7" s="312"/>
      <c r="CL7" s="312"/>
      <c r="CM7" s="312"/>
      <c r="CN7" s="312"/>
      <c r="CO7" s="312"/>
      <c r="CP7" s="312"/>
      <c r="CQ7" s="312"/>
      <c r="CR7" s="312"/>
      <c r="CS7" s="312"/>
      <c r="CT7" s="312"/>
      <c r="CU7" s="312"/>
      <c r="CV7" s="312"/>
      <c r="CW7" s="312"/>
      <c r="CX7" s="312"/>
      <c r="CY7" s="312"/>
      <c r="CZ7" s="312"/>
      <c r="DA7" s="312"/>
      <c r="DB7" s="312"/>
      <c r="DC7" s="312"/>
      <c r="DD7" s="312"/>
      <c r="DE7" s="312"/>
      <c r="DF7" s="312"/>
      <c r="DG7" s="312"/>
      <c r="DH7" s="312"/>
      <c r="DI7" s="312"/>
      <c r="DJ7" s="312"/>
      <c r="DK7" s="312"/>
      <c r="DL7" s="312"/>
      <c r="DM7" s="312"/>
      <c r="DN7" s="312"/>
      <c r="DO7" s="312"/>
      <c r="DP7" s="312"/>
      <c r="DQ7" s="312"/>
      <c r="DR7" s="312"/>
      <c r="DS7" s="312"/>
      <c r="DT7" s="312"/>
      <c r="DU7" s="312"/>
      <c r="DV7" s="312"/>
      <c r="DW7" s="312"/>
      <c r="DX7" s="312"/>
      <c r="DY7" s="312"/>
      <c r="DZ7" s="312"/>
      <c r="EA7" s="312"/>
      <c r="EB7" s="312"/>
      <c r="EC7" s="312"/>
      <c r="ED7" s="312"/>
      <c r="EE7" s="312"/>
      <c r="EF7" s="312"/>
      <c r="EG7" s="312"/>
      <c r="EH7" s="312"/>
      <c r="EI7" s="312"/>
      <c r="EJ7" s="312"/>
      <c r="EK7" s="312"/>
      <c r="EL7" s="312"/>
      <c r="EM7" s="312"/>
      <c r="EN7" s="312"/>
      <c r="EO7" s="312"/>
      <c r="EP7" s="312"/>
      <c r="EQ7" s="312"/>
      <c r="ER7" s="312"/>
      <c r="ES7" s="312"/>
      <c r="ET7" s="312"/>
      <c r="EU7" s="312"/>
      <c r="EV7" s="312"/>
      <c r="EW7" s="312"/>
      <c r="EX7" s="312"/>
      <c r="EY7" s="312"/>
      <c r="EZ7" s="312"/>
      <c r="FA7" s="312"/>
      <c r="FB7" s="312"/>
      <c r="FC7" s="312"/>
      <c r="FD7" s="312"/>
      <c r="FE7" s="312"/>
      <c r="FF7" s="312"/>
      <c r="FG7" s="312"/>
      <c r="FH7" s="312"/>
      <c r="FI7" s="312"/>
      <c r="FJ7" s="312"/>
      <c r="FK7" s="312"/>
      <c r="FL7" s="312"/>
      <c r="FM7" s="312"/>
      <c r="FN7" s="312"/>
      <c r="FO7" s="312"/>
      <c r="FP7" s="312"/>
      <c r="FQ7" s="312"/>
      <c r="FR7" s="312"/>
      <c r="FS7" s="312"/>
      <c r="FT7" s="312"/>
      <c r="FU7" s="312"/>
      <c r="FV7" s="312"/>
      <c r="FW7" s="312"/>
      <c r="FX7" s="312"/>
      <c r="FY7" s="312"/>
      <c r="FZ7" s="312"/>
      <c r="GA7" s="312"/>
      <c r="GB7" s="312"/>
      <c r="GC7" s="312"/>
      <c r="GD7" s="312"/>
      <c r="GE7" s="312"/>
      <c r="GF7" s="312"/>
      <c r="GG7" s="312"/>
      <c r="GH7" s="312"/>
      <c r="GI7" s="312"/>
      <c r="GJ7" s="312"/>
      <c r="GK7" s="312"/>
      <c r="GL7" s="312"/>
      <c r="GM7" s="312"/>
      <c r="GN7" s="312"/>
      <c r="GO7" s="312"/>
      <c r="GP7" s="312"/>
      <c r="GQ7" s="312"/>
      <c r="GR7" s="312"/>
      <c r="GS7" s="312"/>
      <c r="GT7" s="312"/>
      <c r="GU7" s="312"/>
      <c r="GV7" s="312"/>
      <c r="GW7" s="312"/>
      <c r="GX7" s="312"/>
      <c r="GY7" s="312"/>
      <c r="GZ7" s="312"/>
      <c r="HA7" s="312"/>
      <c r="HB7" s="312"/>
      <c r="HC7" s="312"/>
      <c r="HD7" s="312"/>
      <c r="HE7" s="312"/>
      <c r="HF7" s="312"/>
      <c r="HG7" s="312"/>
      <c r="HH7" s="312"/>
      <c r="HI7" s="312"/>
      <c r="HJ7" s="312"/>
      <c r="HK7" s="312"/>
      <c r="HL7" s="312"/>
      <c r="HM7" s="312"/>
      <c r="HN7" s="312"/>
      <c r="HO7" s="312"/>
      <c r="HP7" s="312"/>
      <c r="HQ7" s="312"/>
      <c r="HR7" s="312"/>
      <c r="HS7" s="312"/>
      <c r="HT7" s="312"/>
      <c r="HU7" s="312"/>
      <c r="HV7" s="312"/>
      <c r="HW7" s="312"/>
      <c r="HX7" s="312"/>
      <c r="HY7" s="312"/>
      <c r="HZ7" s="312"/>
      <c r="IA7" s="312"/>
      <c r="IB7" s="312"/>
      <c r="IC7" s="312"/>
      <c r="ID7" s="312"/>
      <c r="IE7" s="312"/>
      <c r="IF7" s="312"/>
      <c r="IG7" s="312"/>
      <c r="IH7" s="312"/>
      <c r="II7" s="312"/>
      <c r="IJ7" s="312"/>
      <c r="IK7" s="312"/>
      <c r="IL7" s="312"/>
      <c r="IM7" s="312"/>
      <c r="IN7" s="312"/>
      <c r="IO7" s="312"/>
      <c r="IP7" s="312"/>
      <c r="IQ7" s="312"/>
      <c r="IR7" s="312"/>
      <c r="IS7" s="312"/>
      <c r="IT7" s="312"/>
      <c r="IU7" s="312"/>
      <c r="IV7" s="312"/>
      <c r="IW7" s="312"/>
      <c r="IX7" s="312"/>
      <c r="IY7" s="312"/>
      <c r="IZ7" s="312"/>
      <c r="JA7" s="312"/>
      <c r="JB7" s="312"/>
    </row>
    <row r="8" spans="1:262" ht="18" customHeight="1">
      <c r="A8" s="317"/>
      <c r="B8" s="323" t="s">
        <v>382</v>
      </c>
      <c r="C8" s="111">
        <v>76</v>
      </c>
      <c r="D8" s="111">
        <v>65</v>
      </c>
      <c r="E8" s="190">
        <v>11</v>
      </c>
      <c r="F8" s="111">
        <v>70</v>
      </c>
      <c r="G8" s="111">
        <v>60</v>
      </c>
      <c r="H8" s="190">
        <v>10</v>
      </c>
      <c r="I8" s="111">
        <v>49</v>
      </c>
      <c r="J8" s="111">
        <v>46</v>
      </c>
      <c r="K8" s="111">
        <v>3</v>
      </c>
      <c r="L8" s="321">
        <v>92</v>
      </c>
      <c r="M8" s="321">
        <v>82</v>
      </c>
      <c r="N8" s="322">
        <v>10</v>
      </c>
      <c r="O8" s="111">
        <v>71</v>
      </c>
      <c r="P8" s="111">
        <v>61</v>
      </c>
      <c r="Q8" s="190">
        <v>10</v>
      </c>
      <c r="R8" s="321">
        <f>1080-R7</f>
        <v>59</v>
      </c>
      <c r="S8" s="321">
        <f>606-554</f>
        <v>52</v>
      </c>
      <c r="T8" s="324">
        <f>474-467</f>
        <v>7</v>
      </c>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s="312"/>
      <c r="BX8" s="312"/>
      <c r="BY8" s="312"/>
      <c r="BZ8" s="312"/>
      <c r="CA8" s="312"/>
      <c r="CB8" s="312"/>
      <c r="CC8" s="312"/>
      <c r="CD8" s="312"/>
      <c r="CE8" s="312"/>
      <c r="CF8" s="312"/>
      <c r="CG8" s="312"/>
      <c r="CH8" s="312"/>
      <c r="CI8" s="312"/>
      <c r="CJ8" s="312"/>
      <c r="CK8" s="312"/>
      <c r="CL8" s="312"/>
      <c r="CM8" s="312"/>
      <c r="CN8" s="312"/>
      <c r="CO8" s="312"/>
      <c r="CP8" s="312"/>
      <c r="CQ8" s="312"/>
      <c r="CR8" s="312"/>
      <c r="CS8" s="312"/>
      <c r="CT8" s="312"/>
      <c r="CU8" s="312"/>
      <c r="CV8" s="312"/>
      <c r="CW8" s="312"/>
      <c r="CX8" s="312"/>
      <c r="CY8" s="312"/>
      <c r="CZ8" s="312"/>
      <c r="DA8" s="312"/>
      <c r="DB8" s="312"/>
      <c r="DC8" s="312"/>
      <c r="DD8" s="312"/>
      <c r="DE8" s="312"/>
      <c r="DF8" s="312"/>
      <c r="DG8" s="312"/>
      <c r="DH8" s="312"/>
      <c r="DI8" s="312"/>
      <c r="DJ8" s="312"/>
      <c r="DK8" s="312"/>
      <c r="DL8" s="312"/>
      <c r="DM8" s="312"/>
      <c r="DN8" s="312"/>
      <c r="DO8" s="312"/>
      <c r="DP8" s="312"/>
      <c r="DQ8" s="312"/>
      <c r="DR8" s="312"/>
      <c r="DS8" s="312"/>
      <c r="DT8" s="312"/>
      <c r="DU8" s="312"/>
      <c r="DV8" s="312"/>
      <c r="DW8" s="312"/>
      <c r="DX8" s="312"/>
      <c r="DY8" s="312"/>
      <c r="DZ8" s="312"/>
      <c r="EA8" s="312"/>
      <c r="EB8" s="312"/>
      <c r="EC8" s="312"/>
      <c r="ED8" s="312"/>
      <c r="EE8" s="312"/>
      <c r="EF8" s="312"/>
      <c r="EG8" s="312"/>
      <c r="EH8" s="312"/>
      <c r="EI8" s="312"/>
      <c r="EJ8" s="312"/>
      <c r="EK8" s="312"/>
      <c r="EL8" s="312"/>
      <c r="EM8" s="312"/>
      <c r="EN8" s="312"/>
      <c r="EO8" s="312"/>
      <c r="EP8" s="312"/>
      <c r="EQ8" s="312"/>
      <c r="ER8" s="312"/>
      <c r="ES8" s="312"/>
      <c r="ET8" s="312"/>
      <c r="EU8" s="312"/>
      <c r="EV8" s="312"/>
      <c r="EW8" s="312"/>
      <c r="EX8" s="312"/>
      <c r="EY8" s="312"/>
      <c r="EZ8" s="312"/>
      <c r="FA8" s="312"/>
      <c r="FB8" s="312"/>
      <c r="FC8" s="312"/>
      <c r="FD8" s="312"/>
      <c r="FE8" s="312"/>
      <c r="FF8" s="312"/>
      <c r="FG8" s="312"/>
      <c r="FH8" s="312"/>
      <c r="FI8" s="312"/>
      <c r="FJ8" s="312"/>
      <c r="FK8" s="312"/>
      <c r="FL8" s="312"/>
      <c r="FM8" s="312"/>
      <c r="FN8" s="312"/>
      <c r="FO8" s="312"/>
      <c r="FP8" s="312"/>
      <c r="FQ8" s="312"/>
      <c r="FR8" s="312"/>
      <c r="FS8" s="312"/>
      <c r="FT8" s="312"/>
      <c r="FU8" s="312"/>
      <c r="FV8" s="312"/>
      <c r="FW8" s="312"/>
      <c r="FX8" s="312"/>
      <c r="FY8" s="312"/>
      <c r="FZ8" s="312"/>
      <c r="GA8" s="312"/>
      <c r="GB8" s="312"/>
      <c r="GC8" s="312"/>
      <c r="GD8" s="312"/>
      <c r="GE8" s="312"/>
      <c r="GF8" s="312"/>
      <c r="GG8" s="312"/>
      <c r="GH8" s="312"/>
      <c r="GI8" s="312"/>
      <c r="GJ8" s="312"/>
      <c r="GK8" s="312"/>
      <c r="GL8" s="312"/>
      <c r="GM8" s="312"/>
      <c r="GN8" s="312"/>
      <c r="GO8" s="312"/>
      <c r="GP8" s="312"/>
      <c r="GQ8" s="312"/>
      <c r="GR8" s="312"/>
      <c r="GS8" s="312"/>
      <c r="GT8" s="312"/>
      <c r="GU8" s="312"/>
      <c r="GV8" s="312"/>
      <c r="GW8" s="312"/>
      <c r="GX8" s="312"/>
      <c r="GY8" s="312"/>
      <c r="GZ8" s="312"/>
      <c r="HA8" s="312"/>
      <c r="HB8" s="312"/>
      <c r="HC8" s="312"/>
      <c r="HD8" s="312"/>
      <c r="HE8" s="312"/>
      <c r="HF8" s="312"/>
      <c r="HG8" s="312"/>
      <c r="HH8" s="312"/>
      <c r="HI8" s="312"/>
      <c r="HJ8" s="312"/>
      <c r="HK8" s="312"/>
      <c r="HL8" s="312"/>
      <c r="HM8" s="312"/>
      <c r="HN8" s="312"/>
      <c r="HO8" s="312"/>
      <c r="HP8" s="312"/>
      <c r="HQ8" s="312"/>
      <c r="HR8" s="312"/>
      <c r="HS8" s="312"/>
      <c r="HT8" s="312"/>
      <c r="HU8" s="312"/>
      <c r="HV8" s="312"/>
      <c r="HW8" s="312"/>
      <c r="HX8" s="312"/>
      <c r="HY8" s="312"/>
      <c r="HZ8" s="312"/>
      <c r="IA8" s="312"/>
      <c r="IB8" s="312"/>
      <c r="IC8" s="312"/>
      <c r="ID8" s="312"/>
      <c r="IE8" s="312"/>
      <c r="IF8" s="312"/>
      <c r="IG8" s="312"/>
      <c r="IH8" s="312"/>
      <c r="II8" s="312"/>
      <c r="IJ8" s="312"/>
      <c r="IK8" s="312"/>
      <c r="IL8" s="312"/>
      <c r="IM8" s="312"/>
      <c r="IN8" s="312"/>
      <c r="IO8" s="312"/>
      <c r="IP8" s="312"/>
      <c r="IQ8" s="312"/>
      <c r="IR8" s="312"/>
      <c r="IS8" s="312"/>
      <c r="IT8" s="312"/>
      <c r="IU8" s="312"/>
      <c r="IV8" s="312"/>
      <c r="IW8" s="312"/>
      <c r="IX8" s="312"/>
      <c r="IY8" s="312"/>
      <c r="IZ8" s="312"/>
      <c r="JA8" s="312"/>
      <c r="JB8" s="312"/>
    </row>
    <row r="9" spans="1:262" ht="18" customHeight="1">
      <c r="A9" s="325"/>
      <c r="B9" s="326" t="s">
        <v>383</v>
      </c>
      <c r="C9" s="198">
        <v>5</v>
      </c>
      <c r="D9" s="198">
        <v>3</v>
      </c>
      <c r="E9" s="199">
        <v>2</v>
      </c>
      <c r="F9" s="198">
        <v>1</v>
      </c>
      <c r="G9" s="198">
        <v>1</v>
      </c>
      <c r="H9" s="197" t="s">
        <v>305</v>
      </c>
      <c r="I9" s="198">
        <v>5</v>
      </c>
      <c r="J9" s="198">
        <v>5</v>
      </c>
      <c r="K9" s="201" t="s">
        <v>384</v>
      </c>
      <c r="L9" s="319">
        <v>9</v>
      </c>
      <c r="M9" s="319">
        <v>7</v>
      </c>
      <c r="N9" s="327">
        <v>2</v>
      </c>
      <c r="O9" s="198">
        <v>7</v>
      </c>
      <c r="P9" s="198">
        <v>3</v>
      </c>
      <c r="Q9" s="197">
        <v>4</v>
      </c>
      <c r="R9" s="319">
        <v>3</v>
      </c>
      <c r="S9" s="319">
        <v>2</v>
      </c>
      <c r="T9" s="328">
        <v>1</v>
      </c>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c r="BR9" s="312"/>
      <c r="BS9" s="312"/>
      <c r="BT9" s="312"/>
      <c r="BU9" s="312"/>
      <c r="BV9" s="312"/>
      <c r="BW9" s="312"/>
      <c r="BX9" s="312"/>
      <c r="BY9" s="312"/>
      <c r="BZ9" s="312"/>
      <c r="CA9" s="312"/>
      <c r="CB9" s="312"/>
      <c r="CC9" s="312"/>
      <c r="CD9" s="312"/>
      <c r="CE9" s="312"/>
      <c r="CF9" s="312"/>
      <c r="CG9" s="312"/>
      <c r="CH9" s="312"/>
      <c r="CI9" s="312"/>
      <c r="CJ9" s="312"/>
      <c r="CK9" s="312"/>
      <c r="CL9" s="312"/>
      <c r="CM9" s="312"/>
      <c r="CN9" s="312"/>
      <c r="CO9" s="312"/>
      <c r="CP9" s="312"/>
      <c r="CQ9" s="312"/>
      <c r="CR9" s="312"/>
      <c r="CS9" s="312"/>
      <c r="CT9" s="312"/>
      <c r="CU9" s="312"/>
      <c r="CV9" s="312"/>
      <c r="CW9" s="312"/>
      <c r="CX9" s="312"/>
      <c r="CY9" s="312"/>
      <c r="CZ9" s="312"/>
      <c r="DA9" s="312"/>
      <c r="DB9" s="312"/>
      <c r="DC9" s="312"/>
      <c r="DD9" s="312"/>
      <c r="DE9" s="312"/>
      <c r="DF9" s="312"/>
      <c r="DG9" s="312"/>
      <c r="DH9" s="312"/>
      <c r="DI9" s="312"/>
      <c r="DJ9" s="312"/>
      <c r="DK9" s="312"/>
      <c r="DL9" s="312"/>
      <c r="DM9" s="312"/>
      <c r="DN9" s="312"/>
      <c r="DO9" s="312"/>
      <c r="DP9" s="312"/>
      <c r="DQ9" s="312"/>
      <c r="DR9" s="312"/>
      <c r="DS9" s="312"/>
      <c r="DT9" s="312"/>
      <c r="DU9" s="312"/>
      <c r="DV9" s="312"/>
      <c r="DW9" s="312"/>
      <c r="DX9" s="312"/>
      <c r="DY9" s="312"/>
      <c r="DZ9" s="312"/>
      <c r="EA9" s="312"/>
      <c r="EB9" s="312"/>
      <c r="EC9" s="312"/>
      <c r="ED9" s="312"/>
      <c r="EE9" s="312"/>
      <c r="EF9" s="312"/>
      <c r="EG9" s="312"/>
      <c r="EH9" s="312"/>
      <c r="EI9" s="312"/>
      <c r="EJ9" s="312"/>
      <c r="EK9" s="312"/>
      <c r="EL9" s="312"/>
      <c r="EM9" s="312"/>
      <c r="EN9" s="312"/>
      <c r="EO9" s="312"/>
      <c r="EP9" s="312"/>
      <c r="EQ9" s="312"/>
      <c r="ER9" s="312"/>
      <c r="ES9" s="312"/>
      <c r="ET9" s="312"/>
      <c r="EU9" s="312"/>
      <c r="EV9" s="312"/>
      <c r="EW9" s="312"/>
      <c r="EX9" s="312"/>
      <c r="EY9" s="312"/>
      <c r="EZ9" s="312"/>
      <c r="FA9" s="312"/>
      <c r="FB9" s="312"/>
      <c r="FC9" s="312"/>
      <c r="FD9" s="312"/>
      <c r="FE9" s="312"/>
      <c r="FF9" s="312"/>
      <c r="FG9" s="312"/>
      <c r="FH9" s="312"/>
      <c r="FI9" s="312"/>
      <c r="FJ9" s="312"/>
      <c r="FK9" s="312"/>
      <c r="FL9" s="312"/>
      <c r="FM9" s="312"/>
      <c r="FN9" s="312"/>
      <c r="FO9" s="312"/>
      <c r="FP9" s="312"/>
      <c r="FQ9" s="312"/>
      <c r="FR9" s="312"/>
      <c r="FS9" s="312"/>
      <c r="FT9" s="312"/>
      <c r="FU9" s="312"/>
      <c r="FV9" s="312"/>
      <c r="FW9" s="312"/>
      <c r="FX9" s="312"/>
      <c r="FY9" s="312"/>
      <c r="FZ9" s="312"/>
      <c r="GA9" s="312"/>
      <c r="GB9" s="312"/>
      <c r="GC9" s="312"/>
      <c r="GD9" s="312"/>
      <c r="GE9" s="312"/>
      <c r="GF9" s="312"/>
      <c r="GG9" s="312"/>
      <c r="GH9" s="312"/>
      <c r="GI9" s="312"/>
      <c r="GJ9" s="312"/>
      <c r="GK9" s="312"/>
      <c r="GL9" s="312"/>
      <c r="GM9" s="312"/>
      <c r="GN9" s="312"/>
      <c r="GO9" s="312"/>
      <c r="GP9" s="312"/>
      <c r="GQ9" s="312"/>
      <c r="GR9" s="312"/>
      <c r="GS9" s="312"/>
      <c r="GT9" s="312"/>
      <c r="GU9" s="312"/>
      <c r="GV9" s="312"/>
      <c r="GW9" s="312"/>
      <c r="GX9" s="312"/>
      <c r="GY9" s="312"/>
      <c r="GZ9" s="312"/>
      <c r="HA9" s="312"/>
      <c r="HB9" s="312"/>
      <c r="HC9" s="312"/>
      <c r="HD9" s="312"/>
      <c r="HE9" s="312"/>
      <c r="HF9" s="312"/>
      <c r="HG9" s="312"/>
      <c r="HH9" s="312"/>
      <c r="HI9" s="312"/>
      <c r="HJ9" s="312"/>
      <c r="HK9" s="312"/>
      <c r="HL9" s="312"/>
      <c r="HM9" s="312"/>
      <c r="HN9" s="312"/>
      <c r="HO9" s="312"/>
      <c r="HP9" s="312"/>
      <c r="HQ9" s="312"/>
      <c r="HR9" s="312"/>
      <c r="HS9" s="312"/>
      <c r="HT9" s="312"/>
      <c r="HU9" s="312"/>
      <c r="HV9" s="312"/>
      <c r="HW9" s="312"/>
      <c r="HX9" s="312"/>
      <c r="HY9" s="312"/>
      <c r="HZ9" s="312"/>
      <c r="IA9" s="312"/>
      <c r="IB9" s="312"/>
      <c r="IC9" s="312"/>
      <c r="ID9" s="312"/>
      <c r="IE9" s="312"/>
      <c r="IF9" s="312"/>
      <c r="IG9" s="312"/>
      <c r="IH9" s="312"/>
      <c r="II9" s="312"/>
      <c r="IJ9" s="312"/>
      <c r="IK9" s="312"/>
      <c r="IL9" s="312"/>
      <c r="IM9" s="312"/>
      <c r="IN9" s="312"/>
      <c r="IO9" s="312"/>
      <c r="IP9" s="312"/>
      <c r="IQ9" s="312"/>
      <c r="IR9" s="312"/>
      <c r="IS9" s="312"/>
      <c r="IT9" s="312"/>
      <c r="IU9" s="312"/>
      <c r="IV9" s="312"/>
      <c r="IW9" s="312"/>
      <c r="IX9" s="312"/>
      <c r="IY9" s="312"/>
      <c r="IZ9" s="312"/>
      <c r="JA9" s="312"/>
      <c r="JB9" s="312"/>
    </row>
    <row r="10" spans="1:262" ht="18" customHeight="1">
      <c r="A10" s="2257" t="s">
        <v>385</v>
      </c>
      <c r="B10" s="2258"/>
      <c r="C10" s="111">
        <v>7119</v>
      </c>
      <c r="D10" s="111">
        <v>4854</v>
      </c>
      <c r="E10" s="190">
        <v>2265</v>
      </c>
      <c r="F10" s="111">
        <v>6615</v>
      </c>
      <c r="G10" s="111">
        <v>4669</v>
      </c>
      <c r="H10" s="190">
        <v>1946</v>
      </c>
      <c r="I10" s="111">
        <v>5112</v>
      </c>
      <c r="J10" s="111">
        <v>3757</v>
      </c>
      <c r="K10" s="111">
        <v>1355</v>
      </c>
      <c r="L10" s="321">
        <v>4385</v>
      </c>
      <c r="M10" s="321">
        <v>3270</v>
      </c>
      <c r="N10" s="322">
        <v>1115</v>
      </c>
      <c r="O10" s="111">
        <v>3956</v>
      </c>
      <c r="P10" s="111">
        <v>2916</v>
      </c>
      <c r="Q10" s="190">
        <v>1040</v>
      </c>
      <c r="R10" s="321">
        <f>+SUM(R11:R13)</f>
        <v>3336</v>
      </c>
      <c r="S10" s="321">
        <f>+SUM(S11:S13)</f>
        <v>2418</v>
      </c>
      <c r="T10" s="321">
        <f>+SUM(T11:T13)</f>
        <v>918</v>
      </c>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c r="BR10" s="312"/>
      <c r="BS10" s="312"/>
      <c r="BT10" s="312"/>
      <c r="BU10" s="312"/>
      <c r="BV10" s="312"/>
      <c r="BW10" s="312"/>
      <c r="BX10" s="312"/>
      <c r="BY10" s="312"/>
      <c r="BZ10" s="312"/>
      <c r="CA10" s="312"/>
      <c r="CB10" s="312"/>
      <c r="CC10" s="312"/>
      <c r="CD10" s="312"/>
      <c r="CE10" s="312"/>
      <c r="CF10" s="312"/>
      <c r="CG10" s="312"/>
      <c r="CH10" s="312"/>
      <c r="CI10" s="312"/>
      <c r="CJ10" s="312"/>
      <c r="CK10" s="312"/>
      <c r="CL10" s="312"/>
      <c r="CM10" s="312"/>
      <c r="CN10" s="312"/>
      <c r="CO10" s="312"/>
      <c r="CP10" s="312"/>
      <c r="CQ10" s="312"/>
      <c r="CR10" s="312"/>
      <c r="CS10" s="312"/>
      <c r="CT10" s="312"/>
      <c r="CU10" s="312"/>
      <c r="CV10" s="312"/>
      <c r="CW10" s="312"/>
      <c r="CX10" s="312"/>
      <c r="CY10" s="312"/>
      <c r="CZ10" s="312"/>
      <c r="DA10" s="312"/>
      <c r="DB10" s="312"/>
      <c r="DC10" s="312"/>
      <c r="DD10" s="312"/>
      <c r="DE10" s="312"/>
      <c r="DF10" s="312"/>
      <c r="DG10" s="312"/>
      <c r="DH10" s="312"/>
      <c r="DI10" s="312"/>
      <c r="DJ10" s="312"/>
      <c r="DK10" s="312"/>
      <c r="DL10" s="312"/>
      <c r="DM10" s="312"/>
      <c r="DN10" s="312"/>
      <c r="DO10" s="312"/>
      <c r="DP10" s="312"/>
      <c r="DQ10" s="312"/>
      <c r="DR10" s="312"/>
      <c r="DS10" s="312"/>
      <c r="DT10" s="312"/>
      <c r="DU10" s="312"/>
      <c r="DV10" s="312"/>
      <c r="DW10" s="312"/>
      <c r="DX10" s="312"/>
      <c r="DY10" s="312"/>
      <c r="DZ10" s="312"/>
      <c r="EA10" s="312"/>
      <c r="EB10" s="312"/>
      <c r="EC10" s="312"/>
      <c r="ED10" s="312"/>
      <c r="EE10" s="312"/>
      <c r="EF10" s="312"/>
      <c r="EG10" s="312"/>
      <c r="EH10" s="312"/>
      <c r="EI10" s="312"/>
      <c r="EJ10" s="312"/>
      <c r="EK10" s="312"/>
      <c r="EL10" s="312"/>
      <c r="EM10" s="312"/>
      <c r="EN10" s="312"/>
      <c r="EO10" s="312"/>
      <c r="EP10" s="312"/>
      <c r="EQ10" s="312"/>
      <c r="ER10" s="312"/>
      <c r="ES10" s="312"/>
      <c r="ET10" s="312"/>
      <c r="EU10" s="312"/>
      <c r="EV10" s="312"/>
      <c r="EW10" s="312"/>
      <c r="EX10" s="312"/>
      <c r="EY10" s="312"/>
      <c r="EZ10" s="312"/>
      <c r="FA10" s="312"/>
      <c r="FB10" s="312"/>
      <c r="FC10" s="312"/>
      <c r="FD10" s="312"/>
      <c r="FE10" s="312"/>
      <c r="FF10" s="312"/>
      <c r="FG10" s="312"/>
      <c r="FH10" s="312"/>
      <c r="FI10" s="312"/>
      <c r="FJ10" s="312"/>
      <c r="FK10" s="312"/>
      <c r="FL10" s="312"/>
      <c r="FM10" s="312"/>
      <c r="FN10" s="312"/>
      <c r="FO10" s="312"/>
      <c r="FP10" s="312"/>
      <c r="FQ10" s="312"/>
      <c r="FR10" s="312"/>
      <c r="FS10" s="312"/>
      <c r="FT10" s="312"/>
      <c r="FU10" s="312"/>
      <c r="FV10" s="312"/>
      <c r="FW10" s="312"/>
      <c r="FX10" s="312"/>
      <c r="FY10" s="312"/>
      <c r="FZ10" s="312"/>
      <c r="GA10" s="312"/>
      <c r="GB10" s="312"/>
      <c r="GC10" s="312"/>
      <c r="GD10" s="312"/>
      <c r="GE10" s="312"/>
      <c r="GF10" s="312"/>
      <c r="GG10" s="312"/>
      <c r="GH10" s="312"/>
      <c r="GI10" s="312"/>
      <c r="GJ10" s="312"/>
      <c r="GK10" s="312"/>
      <c r="GL10" s="312"/>
      <c r="GM10" s="312"/>
      <c r="GN10" s="312"/>
      <c r="GO10" s="312"/>
      <c r="GP10" s="312"/>
      <c r="GQ10" s="312"/>
      <c r="GR10" s="312"/>
      <c r="GS10" s="312"/>
      <c r="GT10" s="312"/>
      <c r="GU10" s="312"/>
      <c r="GV10" s="312"/>
      <c r="GW10" s="312"/>
      <c r="GX10" s="312"/>
      <c r="GY10" s="312"/>
      <c r="GZ10" s="312"/>
      <c r="HA10" s="312"/>
      <c r="HB10" s="312"/>
      <c r="HC10" s="312"/>
      <c r="HD10" s="312"/>
      <c r="HE10" s="312"/>
      <c r="HF10" s="312"/>
      <c r="HG10" s="312"/>
      <c r="HH10" s="312"/>
      <c r="HI10" s="312"/>
      <c r="HJ10" s="312"/>
      <c r="HK10" s="312"/>
      <c r="HL10" s="312"/>
      <c r="HM10" s="312"/>
      <c r="HN10" s="312"/>
      <c r="HO10" s="312"/>
      <c r="HP10" s="312"/>
      <c r="HQ10" s="312"/>
      <c r="HR10" s="312"/>
      <c r="HS10" s="312"/>
      <c r="HT10" s="312"/>
      <c r="HU10" s="312"/>
      <c r="HV10" s="312"/>
      <c r="HW10" s="312"/>
      <c r="HX10" s="312"/>
      <c r="HY10" s="312"/>
      <c r="HZ10" s="312"/>
      <c r="IA10" s="312"/>
      <c r="IB10" s="312"/>
      <c r="IC10" s="312"/>
      <c r="ID10" s="312"/>
      <c r="IE10" s="312"/>
      <c r="IF10" s="312"/>
      <c r="IG10" s="312"/>
      <c r="IH10" s="312"/>
      <c r="II10" s="312"/>
      <c r="IJ10" s="312"/>
      <c r="IK10" s="312"/>
      <c r="IL10" s="312"/>
      <c r="IM10" s="312"/>
      <c r="IN10" s="312"/>
      <c r="IO10" s="312"/>
      <c r="IP10" s="312"/>
      <c r="IQ10" s="312"/>
      <c r="IR10" s="312"/>
      <c r="IS10" s="312"/>
      <c r="IT10" s="312"/>
      <c r="IU10" s="312"/>
      <c r="IV10" s="312"/>
      <c r="IW10" s="312"/>
      <c r="IX10" s="312"/>
      <c r="IY10" s="312"/>
      <c r="IZ10" s="312"/>
      <c r="JA10" s="312"/>
      <c r="JB10" s="312"/>
    </row>
    <row r="11" spans="1:262" ht="18" customHeight="1">
      <c r="A11" s="317"/>
      <c r="B11" s="323" t="s">
        <v>386</v>
      </c>
      <c r="C11" s="111">
        <v>39</v>
      </c>
      <c r="D11" s="111">
        <v>34</v>
      </c>
      <c r="E11" s="190">
        <v>5</v>
      </c>
      <c r="F11" s="111">
        <v>41</v>
      </c>
      <c r="G11" s="111">
        <v>37</v>
      </c>
      <c r="H11" s="190">
        <v>4</v>
      </c>
      <c r="I11" s="111">
        <v>16</v>
      </c>
      <c r="J11" s="111">
        <v>15</v>
      </c>
      <c r="K11" s="111">
        <v>1</v>
      </c>
      <c r="L11" s="321">
        <v>12</v>
      </c>
      <c r="M11" s="321">
        <v>10</v>
      </c>
      <c r="N11" s="322">
        <v>2</v>
      </c>
      <c r="O11" s="111">
        <v>7</v>
      </c>
      <c r="P11" s="111">
        <v>5</v>
      </c>
      <c r="Q11" s="190">
        <v>2</v>
      </c>
      <c r="R11" s="321">
        <v>5</v>
      </c>
      <c r="S11" s="321">
        <v>3</v>
      </c>
      <c r="T11" s="324">
        <v>2</v>
      </c>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A11" s="312"/>
      <c r="CB11" s="312"/>
      <c r="CC11" s="312"/>
      <c r="CD11" s="312"/>
      <c r="CE11" s="312"/>
      <c r="CF11" s="312"/>
      <c r="CG11" s="312"/>
      <c r="CH11" s="312"/>
      <c r="CI11" s="312"/>
      <c r="CJ11" s="312"/>
      <c r="CK11" s="312"/>
      <c r="CL11" s="312"/>
      <c r="CM11" s="312"/>
      <c r="CN11" s="312"/>
      <c r="CO11" s="312"/>
      <c r="CP11" s="312"/>
      <c r="CQ11" s="312"/>
      <c r="CR11" s="312"/>
      <c r="CS11" s="312"/>
      <c r="CT11" s="312"/>
      <c r="CU11" s="312"/>
      <c r="CV11" s="312"/>
      <c r="CW11" s="312"/>
      <c r="CX11" s="312"/>
      <c r="CY11" s="312"/>
      <c r="CZ11" s="312"/>
      <c r="DA11" s="312"/>
      <c r="DB11" s="312"/>
      <c r="DC11" s="312"/>
      <c r="DD11" s="312"/>
      <c r="DE11" s="312"/>
      <c r="DF11" s="312"/>
      <c r="DG11" s="312"/>
      <c r="DH11" s="312"/>
      <c r="DI11" s="312"/>
      <c r="DJ11" s="312"/>
      <c r="DK11" s="312"/>
      <c r="DL11" s="312"/>
      <c r="DM11" s="312"/>
      <c r="DN11" s="312"/>
      <c r="DO11" s="312"/>
      <c r="DP11" s="312"/>
      <c r="DQ11" s="312"/>
      <c r="DR11" s="312"/>
      <c r="DS11" s="312"/>
      <c r="DT11" s="312"/>
      <c r="DU11" s="312"/>
      <c r="DV11" s="312"/>
      <c r="DW11" s="312"/>
      <c r="DX11" s="312"/>
      <c r="DY11" s="312"/>
      <c r="DZ11" s="312"/>
      <c r="EA11" s="312"/>
      <c r="EB11" s="312"/>
      <c r="EC11" s="312"/>
      <c r="ED11" s="312"/>
      <c r="EE11" s="312"/>
      <c r="EF11" s="312"/>
      <c r="EG11" s="312"/>
      <c r="EH11" s="312"/>
      <c r="EI11" s="312"/>
      <c r="EJ11" s="312"/>
      <c r="EK11" s="312"/>
      <c r="EL11" s="312"/>
      <c r="EM11" s="312"/>
      <c r="EN11" s="312"/>
      <c r="EO11" s="312"/>
      <c r="EP11" s="312"/>
      <c r="EQ11" s="312"/>
      <c r="ER11" s="312"/>
      <c r="ES11" s="312"/>
      <c r="ET11" s="312"/>
      <c r="EU11" s="312"/>
      <c r="EV11" s="312"/>
      <c r="EW11" s="312"/>
      <c r="EX11" s="312"/>
      <c r="EY11" s="312"/>
      <c r="EZ11" s="312"/>
      <c r="FA11" s="312"/>
      <c r="FB11" s="312"/>
      <c r="FC11" s="312"/>
      <c r="FD11" s="312"/>
      <c r="FE11" s="312"/>
      <c r="FF11" s="312"/>
      <c r="FG11" s="312"/>
      <c r="FH11" s="312"/>
      <c r="FI11" s="312"/>
      <c r="FJ11" s="312"/>
      <c r="FK11" s="312"/>
      <c r="FL11" s="312"/>
      <c r="FM11" s="312"/>
      <c r="FN11" s="312"/>
      <c r="FO11" s="312"/>
      <c r="FP11" s="312"/>
      <c r="FQ11" s="312"/>
      <c r="FR11" s="312"/>
      <c r="FS11" s="312"/>
      <c r="FT11" s="312"/>
      <c r="FU11" s="312"/>
      <c r="FV11" s="312"/>
      <c r="FW11" s="312"/>
      <c r="FX11" s="312"/>
      <c r="FY11" s="312"/>
      <c r="FZ11" s="312"/>
      <c r="GA11" s="312"/>
      <c r="GB11" s="312"/>
      <c r="GC11" s="312"/>
      <c r="GD11" s="312"/>
      <c r="GE11" s="312"/>
      <c r="GF11" s="312"/>
      <c r="GG11" s="312"/>
      <c r="GH11" s="312"/>
      <c r="GI11" s="312"/>
      <c r="GJ11" s="312"/>
      <c r="GK11" s="312"/>
      <c r="GL11" s="312"/>
      <c r="GM11" s="312"/>
      <c r="GN11" s="312"/>
      <c r="GO11" s="312"/>
      <c r="GP11" s="312"/>
      <c r="GQ11" s="312"/>
      <c r="GR11" s="312"/>
      <c r="GS11" s="312"/>
      <c r="GT11" s="312"/>
      <c r="GU11" s="312"/>
      <c r="GV11" s="312"/>
      <c r="GW11" s="312"/>
      <c r="GX11" s="312"/>
      <c r="GY11" s="312"/>
      <c r="GZ11" s="312"/>
      <c r="HA11" s="312"/>
      <c r="HB11" s="312"/>
      <c r="HC11" s="312"/>
      <c r="HD11" s="312"/>
      <c r="HE11" s="312"/>
      <c r="HF11" s="312"/>
      <c r="HG11" s="312"/>
      <c r="HH11" s="312"/>
      <c r="HI11" s="312"/>
      <c r="HJ11" s="312"/>
      <c r="HK11" s="312"/>
      <c r="HL11" s="312"/>
      <c r="HM11" s="312"/>
      <c r="HN11" s="312"/>
      <c r="HO11" s="312"/>
      <c r="HP11" s="312"/>
      <c r="HQ11" s="312"/>
      <c r="HR11" s="312"/>
      <c r="HS11" s="312"/>
      <c r="HT11" s="312"/>
      <c r="HU11" s="312"/>
      <c r="HV11" s="312"/>
      <c r="HW11" s="312"/>
      <c r="HX11" s="312"/>
      <c r="HY11" s="312"/>
      <c r="HZ11" s="312"/>
      <c r="IA11" s="312"/>
      <c r="IB11" s="312"/>
      <c r="IC11" s="312"/>
      <c r="ID11" s="312"/>
      <c r="IE11" s="312"/>
      <c r="IF11" s="312"/>
      <c r="IG11" s="312"/>
      <c r="IH11" s="312"/>
      <c r="II11" s="312"/>
      <c r="IJ11" s="312"/>
      <c r="IK11" s="312"/>
      <c r="IL11" s="312"/>
      <c r="IM11" s="312"/>
      <c r="IN11" s="312"/>
      <c r="IO11" s="312"/>
      <c r="IP11" s="312"/>
      <c r="IQ11" s="312"/>
      <c r="IR11" s="312"/>
      <c r="IS11" s="312"/>
      <c r="IT11" s="312"/>
      <c r="IU11" s="312"/>
      <c r="IV11" s="312"/>
      <c r="IW11" s="312"/>
      <c r="IX11" s="312"/>
      <c r="IY11" s="312"/>
      <c r="IZ11" s="312"/>
      <c r="JA11" s="312"/>
      <c r="JB11" s="312"/>
    </row>
    <row r="12" spans="1:262" ht="18" customHeight="1">
      <c r="A12" s="317"/>
      <c r="B12" s="323" t="s">
        <v>387</v>
      </c>
      <c r="C12" s="111">
        <v>3022</v>
      </c>
      <c r="D12" s="111">
        <v>2561</v>
      </c>
      <c r="E12" s="190">
        <v>461</v>
      </c>
      <c r="F12" s="111">
        <v>2768</v>
      </c>
      <c r="G12" s="111">
        <v>2342</v>
      </c>
      <c r="H12" s="190">
        <v>426</v>
      </c>
      <c r="I12" s="111">
        <v>2075</v>
      </c>
      <c r="J12" s="111">
        <v>1785</v>
      </c>
      <c r="K12" s="111">
        <v>290</v>
      </c>
      <c r="L12" s="321">
        <v>1592</v>
      </c>
      <c r="M12" s="321">
        <v>1374</v>
      </c>
      <c r="N12" s="322">
        <v>218</v>
      </c>
      <c r="O12" s="111">
        <v>1426</v>
      </c>
      <c r="P12" s="111">
        <v>1236</v>
      </c>
      <c r="Q12" s="190">
        <v>190</v>
      </c>
      <c r="R12" s="321">
        <v>1200</v>
      </c>
      <c r="S12" s="321">
        <v>1017</v>
      </c>
      <c r="T12" s="324">
        <v>183</v>
      </c>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c r="BR12" s="312"/>
      <c r="BS12" s="312"/>
      <c r="BT12" s="312"/>
      <c r="BU12" s="312"/>
      <c r="BV12" s="312"/>
      <c r="BW12" s="312"/>
      <c r="BX12" s="312"/>
      <c r="BY12" s="312"/>
      <c r="BZ12" s="312"/>
      <c r="CA12" s="312"/>
      <c r="CB12" s="312"/>
      <c r="CC12" s="312"/>
      <c r="CD12" s="312"/>
      <c r="CE12" s="312"/>
      <c r="CF12" s="312"/>
      <c r="CG12" s="312"/>
      <c r="CH12" s="312"/>
      <c r="CI12" s="312"/>
      <c r="CJ12" s="312"/>
      <c r="CK12" s="312"/>
      <c r="CL12" s="312"/>
      <c r="CM12" s="312"/>
      <c r="CN12" s="312"/>
      <c r="CO12" s="312"/>
      <c r="CP12" s="312"/>
      <c r="CQ12" s="312"/>
      <c r="CR12" s="312"/>
      <c r="CS12" s="312"/>
      <c r="CT12" s="312"/>
      <c r="CU12" s="312"/>
      <c r="CV12" s="312"/>
      <c r="CW12" s="312"/>
      <c r="CX12" s="312"/>
      <c r="CY12" s="312"/>
      <c r="CZ12" s="312"/>
      <c r="DA12" s="312"/>
      <c r="DB12" s="312"/>
      <c r="DC12" s="312"/>
      <c r="DD12" s="312"/>
      <c r="DE12" s="312"/>
      <c r="DF12" s="312"/>
      <c r="DG12" s="312"/>
      <c r="DH12" s="312"/>
      <c r="DI12" s="312"/>
      <c r="DJ12" s="312"/>
      <c r="DK12" s="312"/>
      <c r="DL12" s="312"/>
      <c r="DM12" s="312"/>
      <c r="DN12" s="312"/>
      <c r="DO12" s="312"/>
      <c r="DP12" s="312"/>
      <c r="DQ12" s="312"/>
      <c r="DR12" s="312"/>
      <c r="DS12" s="312"/>
      <c r="DT12" s="312"/>
      <c r="DU12" s="312"/>
      <c r="DV12" s="312"/>
      <c r="DW12" s="312"/>
      <c r="DX12" s="312"/>
      <c r="DY12" s="312"/>
      <c r="DZ12" s="312"/>
      <c r="EA12" s="312"/>
      <c r="EB12" s="312"/>
      <c r="EC12" s="312"/>
      <c r="ED12" s="312"/>
      <c r="EE12" s="312"/>
      <c r="EF12" s="312"/>
      <c r="EG12" s="312"/>
      <c r="EH12" s="312"/>
      <c r="EI12" s="312"/>
      <c r="EJ12" s="312"/>
      <c r="EK12" s="312"/>
      <c r="EL12" s="312"/>
      <c r="EM12" s="312"/>
      <c r="EN12" s="312"/>
      <c r="EO12" s="312"/>
      <c r="EP12" s="312"/>
      <c r="EQ12" s="312"/>
      <c r="ER12" s="312"/>
      <c r="ES12" s="312"/>
      <c r="ET12" s="312"/>
      <c r="EU12" s="312"/>
      <c r="EV12" s="312"/>
      <c r="EW12" s="312"/>
      <c r="EX12" s="312"/>
      <c r="EY12" s="312"/>
      <c r="EZ12" s="312"/>
      <c r="FA12" s="312"/>
      <c r="FB12" s="312"/>
      <c r="FC12" s="312"/>
      <c r="FD12" s="312"/>
      <c r="FE12" s="312"/>
      <c r="FF12" s="312"/>
      <c r="FG12" s="312"/>
      <c r="FH12" s="312"/>
      <c r="FI12" s="312"/>
      <c r="FJ12" s="312"/>
      <c r="FK12" s="312"/>
      <c r="FL12" s="312"/>
      <c r="FM12" s="312"/>
      <c r="FN12" s="312"/>
      <c r="FO12" s="312"/>
      <c r="FP12" s="312"/>
      <c r="FQ12" s="312"/>
      <c r="FR12" s="312"/>
      <c r="FS12" s="312"/>
      <c r="FT12" s="312"/>
      <c r="FU12" s="312"/>
      <c r="FV12" s="312"/>
      <c r="FW12" s="312"/>
      <c r="FX12" s="312"/>
      <c r="FY12" s="312"/>
      <c r="FZ12" s="312"/>
      <c r="GA12" s="312"/>
      <c r="GB12" s="312"/>
      <c r="GC12" s="312"/>
      <c r="GD12" s="312"/>
      <c r="GE12" s="312"/>
      <c r="GF12" s="312"/>
      <c r="GG12" s="312"/>
      <c r="GH12" s="312"/>
      <c r="GI12" s="312"/>
      <c r="GJ12" s="312"/>
      <c r="GK12" s="312"/>
      <c r="GL12" s="312"/>
      <c r="GM12" s="312"/>
      <c r="GN12" s="312"/>
      <c r="GO12" s="312"/>
      <c r="GP12" s="312"/>
      <c r="GQ12" s="312"/>
      <c r="GR12" s="312"/>
      <c r="GS12" s="312"/>
      <c r="GT12" s="312"/>
      <c r="GU12" s="312"/>
      <c r="GV12" s="312"/>
      <c r="GW12" s="312"/>
      <c r="GX12" s="312"/>
      <c r="GY12" s="312"/>
      <c r="GZ12" s="312"/>
      <c r="HA12" s="312"/>
      <c r="HB12" s="312"/>
      <c r="HC12" s="312"/>
      <c r="HD12" s="312"/>
      <c r="HE12" s="312"/>
      <c r="HF12" s="312"/>
      <c r="HG12" s="312"/>
      <c r="HH12" s="312"/>
      <c r="HI12" s="312"/>
      <c r="HJ12" s="312"/>
      <c r="HK12" s="312"/>
      <c r="HL12" s="312"/>
      <c r="HM12" s="312"/>
      <c r="HN12" s="312"/>
      <c r="HO12" s="312"/>
      <c r="HP12" s="312"/>
      <c r="HQ12" s="312"/>
      <c r="HR12" s="312"/>
      <c r="HS12" s="312"/>
      <c r="HT12" s="312"/>
      <c r="HU12" s="312"/>
      <c r="HV12" s="312"/>
      <c r="HW12" s="312"/>
      <c r="HX12" s="312"/>
      <c r="HY12" s="312"/>
      <c r="HZ12" s="312"/>
      <c r="IA12" s="312"/>
      <c r="IB12" s="312"/>
      <c r="IC12" s="312"/>
      <c r="ID12" s="312"/>
      <c r="IE12" s="312"/>
      <c r="IF12" s="312"/>
      <c r="IG12" s="312"/>
      <c r="IH12" s="312"/>
      <c r="II12" s="312"/>
      <c r="IJ12" s="312"/>
      <c r="IK12" s="312"/>
      <c r="IL12" s="312"/>
      <c r="IM12" s="312"/>
      <c r="IN12" s="312"/>
      <c r="IO12" s="312"/>
      <c r="IP12" s="312"/>
      <c r="IQ12" s="312"/>
      <c r="IR12" s="312"/>
      <c r="IS12" s="312"/>
      <c r="IT12" s="312"/>
      <c r="IU12" s="312"/>
      <c r="IV12" s="312"/>
      <c r="IW12" s="312"/>
      <c r="IX12" s="312"/>
      <c r="IY12" s="312"/>
      <c r="IZ12" s="312"/>
      <c r="JA12" s="312"/>
      <c r="JB12" s="312"/>
    </row>
    <row r="13" spans="1:262" ht="18" customHeight="1">
      <c r="A13" s="325"/>
      <c r="B13" s="326" t="s">
        <v>388</v>
      </c>
      <c r="C13" s="198">
        <v>4058</v>
      </c>
      <c r="D13" s="198">
        <v>2259</v>
      </c>
      <c r="E13" s="199">
        <v>1799</v>
      </c>
      <c r="F13" s="198">
        <v>3806</v>
      </c>
      <c r="G13" s="198">
        <v>2290</v>
      </c>
      <c r="H13" s="199">
        <v>1516</v>
      </c>
      <c r="I13" s="198">
        <v>3021</v>
      </c>
      <c r="J13" s="198">
        <v>1957</v>
      </c>
      <c r="K13" s="198">
        <v>1064</v>
      </c>
      <c r="L13" s="319">
        <v>2781</v>
      </c>
      <c r="M13" s="319">
        <v>1886</v>
      </c>
      <c r="N13" s="320">
        <v>895</v>
      </c>
      <c r="O13" s="198">
        <v>2523</v>
      </c>
      <c r="P13" s="198">
        <v>1675</v>
      </c>
      <c r="Q13" s="199">
        <v>848</v>
      </c>
      <c r="R13" s="319">
        <v>2131</v>
      </c>
      <c r="S13" s="319">
        <v>1398</v>
      </c>
      <c r="T13" s="329">
        <v>733</v>
      </c>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c r="BR13" s="312"/>
      <c r="BS13" s="312"/>
      <c r="BT13" s="312"/>
      <c r="BU13" s="312"/>
      <c r="BV13" s="312"/>
      <c r="BW13" s="312"/>
      <c r="BX13" s="312"/>
      <c r="BY13" s="312"/>
      <c r="BZ13" s="312"/>
      <c r="CA13" s="312"/>
      <c r="CB13" s="312"/>
      <c r="CC13" s="312"/>
      <c r="CD13" s="312"/>
      <c r="CE13" s="312"/>
      <c r="CF13" s="312"/>
      <c r="CG13" s="312"/>
      <c r="CH13" s="312"/>
      <c r="CI13" s="312"/>
      <c r="CJ13" s="312"/>
      <c r="CK13" s="312"/>
      <c r="CL13" s="312"/>
      <c r="CM13" s="312"/>
      <c r="CN13" s="312"/>
      <c r="CO13" s="312"/>
      <c r="CP13" s="312"/>
      <c r="CQ13" s="312"/>
      <c r="CR13" s="312"/>
      <c r="CS13" s="312"/>
      <c r="CT13" s="312"/>
      <c r="CU13" s="312"/>
      <c r="CV13" s="312"/>
      <c r="CW13" s="312"/>
      <c r="CX13" s="312"/>
      <c r="CY13" s="312"/>
      <c r="CZ13" s="312"/>
      <c r="DA13" s="312"/>
      <c r="DB13" s="312"/>
      <c r="DC13" s="312"/>
      <c r="DD13" s="312"/>
      <c r="DE13" s="312"/>
      <c r="DF13" s="312"/>
      <c r="DG13" s="312"/>
      <c r="DH13" s="312"/>
      <c r="DI13" s="312"/>
      <c r="DJ13" s="312"/>
      <c r="DK13" s="312"/>
      <c r="DL13" s="312"/>
      <c r="DM13" s="312"/>
      <c r="DN13" s="312"/>
      <c r="DO13" s="312"/>
      <c r="DP13" s="312"/>
      <c r="DQ13" s="312"/>
      <c r="DR13" s="312"/>
      <c r="DS13" s="312"/>
      <c r="DT13" s="312"/>
      <c r="DU13" s="312"/>
      <c r="DV13" s="312"/>
      <c r="DW13" s="312"/>
      <c r="DX13" s="312"/>
      <c r="DY13" s="312"/>
      <c r="DZ13" s="312"/>
      <c r="EA13" s="312"/>
      <c r="EB13" s="312"/>
      <c r="EC13" s="312"/>
      <c r="ED13" s="312"/>
      <c r="EE13" s="312"/>
      <c r="EF13" s="312"/>
      <c r="EG13" s="312"/>
      <c r="EH13" s="312"/>
      <c r="EI13" s="312"/>
      <c r="EJ13" s="312"/>
      <c r="EK13" s="312"/>
      <c r="EL13" s="312"/>
      <c r="EM13" s="312"/>
      <c r="EN13" s="312"/>
      <c r="EO13" s="312"/>
      <c r="EP13" s="312"/>
      <c r="EQ13" s="312"/>
      <c r="ER13" s="312"/>
      <c r="ES13" s="312"/>
      <c r="ET13" s="312"/>
      <c r="EU13" s="312"/>
      <c r="EV13" s="312"/>
      <c r="EW13" s="312"/>
      <c r="EX13" s="312"/>
      <c r="EY13" s="312"/>
      <c r="EZ13" s="312"/>
      <c r="FA13" s="312"/>
      <c r="FB13" s="312"/>
      <c r="FC13" s="312"/>
      <c r="FD13" s="312"/>
      <c r="FE13" s="312"/>
      <c r="FF13" s="312"/>
      <c r="FG13" s="312"/>
      <c r="FH13" s="312"/>
      <c r="FI13" s="312"/>
      <c r="FJ13" s="312"/>
      <c r="FK13" s="312"/>
      <c r="FL13" s="312"/>
      <c r="FM13" s="312"/>
      <c r="FN13" s="312"/>
      <c r="FO13" s="312"/>
      <c r="FP13" s="312"/>
      <c r="FQ13" s="312"/>
      <c r="FR13" s="312"/>
      <c r="FS13" s="312"/>
      <c r="FT13" s="312"/>
      <c r="FU13" s="312"/>
      <c r="FV13" s="312"/>
      <c r="FW13" s="312"/>
      <c r="FX13" s="312"/>
      <c r="FY13" s="312"/>
      <c r="FZ13" s="312"/>
      <c r="GA13" s="312"/>
      <c r="GB13" s="312"/>
      <c r="GC13" s="312"/>
      <c r="GD13" s="312"/>
      <c r="GE13" s="312"/>
      <c r="GF13" s="312"/>
      <c r="GG13" s="312"/>
      <c r="GH13" s="312"/>
      <c r="GI13" s="312"/>
      <c r="GJ13" s="312"/>
      <c r="GK13" s="312"/>
      <c r="GL13" s="312"/>
      <c r="GM13" s="312"/>
      <c r="GN13" s="312"/>
      <c r="GO13" s="312"/>
      <c r="GP13" s="312"/>
      <c r="GQ13" s="312"/>
      <c r="GR13" s="312"/>
      <c r="GS13" s="312"/>
      <c r="GT13" s="312"/>
      <c r="GU13" s="312"/>
      <c r="GV13" s="312"/>
      <c r="GW13" s="312"/>
      <c r="GX13" s="312"/>
      <c r="GY13" s="312"/>
      <c r="GZ13" s="312"/>
      <c r="HA13" s="312"/>
      <c r="HB13" s="312"/>
      <c r="HC13" s="312"/>
      <c r="HD13" s="312"/>
      <c r="HE13" s="312"/>
      <c r="HF13" s="312"/>
      <c r="HG13" s="312"/>
      <c r="HH13" s="312"/>
      <c r="HI13" s="312"/>
      <c r="HJ13" s="312"/>
      <c r="HK13" s="312"/>
      <c r="HL13" s="312"/>
      <c r="HM13" s="312"/>
      <c r="HN13" s="312"/>
      <c r="HO13" s="312"/>
      <c r="HP13" s="312"/>
      <c r="HQ13" s="312"/>
      <c r="HR13" s="312"/>
      <c r="HS13" s="312"/>
      <c r="HT13" s="312"/>
      <c r="HU13" s="312"/>
      <c r="HV13" s="312"/>
      <c r="HW13" s="312"/>
      <c r="HX13" s="312"/>
      <c r="HY13" s="312"/>
      <c r="HZ13" s="312"/>
      <c r="IA13" s="312"/>
      <c r="IB13" s="312"/>
      <c r="IC13" s="312"/>
      <c r="ID13" s="312"/>
      <c r="IE13" s="312"/>
      <c r="IF13" s="312"/>
      <c r="IG13" s="312"/>
      <c r="IH13" s="312"/>
      <c r="II13" s="312"/>
      <c r="IJ13" s="312"/>
      <c r="IK13" s="312"/>
      <c r="IL13" s="312"/>
      <c r="IM13" s="312"/>
      <c r="IN13" s="312"/>
      <c r="IO13" s="312"/>
      <c r="IP13" s="312"/>
      <c r="IQ13" s="312"/>
      <c r="IR13" s="312"/>
      <c r="IS13" s="312"/>
      <c r="IT13" s="312"/>
      <c r="IU13" s="312"/>
      <c r="IV13" s="312"/>
      <c r="IW13" s="312"/>
      <c r="IX13" s="312"/>
      <c r="IY13" s="312"/>
      <c r="IZ13" s="312"/>
      <c r="JA13" s="312"/>
      <c r="JB13" s="312"/>
    </row>
    <row r="14" spans="1:262" ht="18" customHeight="1">
      <c r="A14" s="2257" t="s">
        <v>389</v>
      </c>
      <c r="B14" s="2258"/>
      <c r="C14" s="111">
        <v>9913</v>
      </c>
      <c r="D14" s="111">
        <v>5156</v>
      </c>
      <c r="E14" s="190">
        <v>4757</v>
      </c>
      <c r="F14" s="111">
        <v>9861</v>
      </c>
      <c r="G14" s="111">
        <v>4952</v>
      </c>
      <c r="H14" s="190">
        <v>4909</v>
      </c>
      <c r="I14" s="111">
        <v>9647</v>
      </c>
      <c r="J14" s="111">
        <v>4675</v>
      </c>
      <c r="K14" s="330">
        <v>4972</v>
      </c>
      <c r="L14" s="321">
        <v>8859</v>
      </c>
      <c r="M14" s="321">
        <v>4199</v>
      </c>
      <c r="N14" s="331">
        <v>4660</v>
      </c>
      <c r="O14" s="111">
        <v>8513</v>
      </c>
      <c r="P14" s="111">
        <v>4009</v>
      </c>
      <c r="Q14" s="190">
        <v>4504</v>
      </c>
      <c r="R14" s="321">
        <f>SUM(R15:R28)</f>
        <v>7567</v>
      </c>
      <c r="S14" s="321">
        <f>SUM(S15:S28)</f>
        <v>3509</v>
      </c>
      <c r="T14" s="321">
        <f>SUM(T15:T28)</f>
        <v>4058</v>
      </c>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2"/>
      <c r="BO14" s="312"/>
      <c r="BP14" s="312"/>
      <c r="BQ14" s="312"/>
      <c r="BR14" s="312"/>
      <c r="BS14" s="312"/>
      <c r="BT14" s="312"/>
      <c r="BU14" s="312"/>
      <c r="BV14" s="312"/>
      <c r="BW14" s="312"/>
      <c r="BX14" s="312"/>
      <c r="BY14" s="312"/>
      <c r="BZ14" s="312"/>
      <c r="CA14" s="312"/>
      <c r="CB14" s="312"/>
      <c r="CC14" s="312"/>
      <c r="CD14" s="312"/>
      <c r="CE14" s="312"/>
      <c r="CF14" s="312"/>
      <c r="CG14" s="312"/>
      <c r="CH14" s="312"/>
      <c r="CI14" s="312"/>
      <c r="CJ14" s="312"/>
      <c r="CK14" s="312"/>
      <c r="CL14" s="312"/>
      <c r="CM14" s="312"/>
      <c r="CN14" s="312"/>
      <c r="CO14" s="312"/>
      <c r="CP14" s="312"/>
      <c r="CQ14" s="312"/>
      <c r="CR14" s="312"/>
      <c r="CS14" s="312"/>
      <c r="CT14" s="312"/>
      <c r="CU14" s="312"/>
      <c r="CV14" s="312"/>
      <c r="CW14" s="312"/>
      <c r="CX14" s="312"/>
      <c r="CY14" s="312"/>
      <c r="CZ14" s="312"/>
      <c r="DA14" s="312"/>
      <c r="DB14" s="312"/>
      <c r="DC14" s="312"/>
      <c r="DD14" s="312"/>
      <c r="DE14" s="312"/>
      <c r="DF14" s="312"/>
      <c r="DG14" s="312"/>
      <c r="DH14" s="312"/>
      <c r="DI14" s="312"/>
      <c r="DJ14" s="312"/>
      <c r="DK14" s="312"/>
      <c r="DL14" s="312"/>
      <c r="DM14" s="312"/>
      <c r="DN14" s="312"/>
      <c r="DO14" s="312"/>
      <c r="DP14" s="312"/>
      <c r="DQ14" s="312"/>
      <c r="DR14" s="312"/>
      <c r="DS14" s="312"/>
      <c r="DT14" s="312"/>
      <c r="DU14" s="312"/>
      <c r="DV14" s="312"/>
      <c r="DW14" s="312"/>
      <c r="DX14" s="312"/>
      <c r="DY14" s="312"/>
      <c r="DZ14" s="312"/>
      <c r="EA14" s="312"/>
      <c r="EB14" s="312"/>
      <c r="EC14" s="312"/>
      <c r="ED14" s="312"/>
      <c r="EE14" s="312"/>
      <c r="EF14" s="312"/>
      <c r="EG14" s="312"/>
      <c r="EH14" s="312"/>
      <c r="EI14" s="312"/>
      <c r="EJ14" s="312"/>
      <c r="EK14" s="312"/>
      <c r="EL14" s="312"/>
      <c r="EM14" s="312"/>
      <c r="EN14" s="312"/>
      <c r="EO14" s="312"/>
      <c r="EP14" s="312"/>
      <c r="EQ14" s="312"/>
      <c r="ER14" s="312"/>
      <c r="ES14" s="312"/>
      <c r="ET14" s="312"/>
      <c r="EU14" s="312"/>
      <c r="EV14" s="312"/>
      <c r="EW14" s="312"/>
      <c r="EX14" s="312"/>
      <c r="EY14" s="312"/>
      <c r="EZ14" s="312"/>
      <c r="FA14" s="312"/>
      <c r="FB14" s="312"/>
      <c r="FC14" s="312"/>
      <c r="FD14" s="312"/>
      <c r="FE14" s="312"/>
      <c r="FF14" s="312"/>
      <c r="FG14" s="312"/>
      <c r="FH14" s="312"/>
      <c r="FI14" s="312"/>
      <c r="FJ14" s="312"/>
      <c r="FK14" s="312"/>
      <c r="FL14" s="312"/>
      <c r="FM14" s="312"/>
      <c r="FN14" s="312"/>
      <c r="FO14" s="312"/>
      <c r="FP14" s="312"/>
      <c r="FQ14" s="312"/>
      <c r="FR14" s="312"/>
      <c r="FS14" s="312"/>
      <c r="FT14" s="312"/>
      <c r="FU14" s="312"/>
      <c r="FV14" s="312"/>
      <c r="FW14" s="312"/>
      <c r="FX14" s="312"/>
      <c r="FY14" s="312"/>
      <c r="FZ14" s="312"/>
      <c r="GA14" s="312"/>
      <c r="GB14" s="312"/>
      <c r="GC14" s="312"/>
      <c r="GD14" s="312"/>
      <c r="GE14" s="312"/>
      <c r="GF14" s="312"/>
      <c r="GG14" s="312"/>
      <c r="GH14" s="312"/>
      <c r="GI14" s="312"/>
      <c r="GJ14" s="312"/>
      <c r="GK14" s="312"/>
      <c r="GL14" s="312"/>
      <c r="GM14" s="312"/>
      <c r="GN14" s="312"/>
      <c r="GO14" s="312"/>
      <c r="GP14" s="312"/>
      <c r="GQ14" s="312"/>
      <c r="GR14" s="312"/>
      <c r="GS14" s="312"/>
      <c r="GT14" s="312"/>
      <c r="GU14" s="312"/>
      <c r="GV14" s="312"/>
      <c r="GW14" s="312"/>
      <c r="GX14" s="312"/>
      <c r="GY14" s="312"/>
      <c r="GZ14" s="312"/>
      <c r="HA14" s="312"/>
      <c r="HB14" s="312"/>
      <c r="HC14" s="312"/>
      <c r="HD14" s="312"/>
      <c r="HE14" s="312"/>
      <c r="HF14" s="312"/>
      <c r="HG14" s="312"/>
      <c r="HH14" s="312"/>
      <c r="HI14" s="312"/>
      <c r="HJ14" s="312"/>
      <c r="HK14" s="312"/>
      <c r="HL14" s="312"/>
      <c r="HM14" s="312"/>
      <c r="HN14" s="312"/>
      <c r="HO14" s="312"/>
      <c r="HP14" s="312"/>
      <c r="HQ14" s="312"/>
      <c r="HR14" s="312"/>
      <c r="HS14" s="312"/>
      <c r="HT14" s="312"/>
      <c r="HU14" s="312"/>
      <c r="HV14" s="312"/>
      <c r="HW14" s="312"/>
      <c r="HX14" s="312"/>
      <c r="HY14" s="312"/>
      <c r="HZ14" s="312"/>
      <c r="IA14" s="312"/>
      <c r="IB14" s="312"/>
      <c r="IC14" s="312"/>
      <c r="ID14" s="312"/>
      <c r="IE14" s="312"/>
      <c r="IF14" s="312"/>
      <c r="IG14" s="312"/>
      <c r="IH14" s="312"/>
      <c r="II14" s="312"/>
      <c r="IJ14" s="312"/>
      <c r="IK14" s="312"/>
      <c r="IL14" s="312"/>
      <c r="IM14" s="312"/>
      <c r="IN14" s="312"/>
      <c r="IO14" s="312"/>
      <c r="IP14" s="312"/>
      <c r="IQ14" s="312"/>
      <c r="IR14" s="312"/>
      <c r="IS14" s="312"/>
      <c r="IT14" s="312"/>
      <c r="IU14" s="312"/>
      <c r="IV14" s="312"/>
      <c r="IW14" s="312"/>
      <c r="IX14" s="312"/>
      <c r="IY14" s="312"/>
      <c r="IZ14" s="312"/>
      <c r="JA14" s="312"/>
      <c r="JB14" s="312"/>
    </row>
    <row r="15" spans="1:262" ht="18" customHeight="1">
      <c r="A15" s="332"/>
      <c r="B15" s="323" t="s">
        <v>390</v>
      </c>
      <c r="C15" s="111">
        <v>209</v>
      </c>
      <c r="D15" s="190">
        <v>177</v>
      </c>
      <c r="E15" s="190">
        <v>32</v>
      </c>
      <c r="F15" s="190">
        <v>228</v>
      </c>
      <c r="G15" s="190">
        <v>206</v>
      </c>
      <c r="H15" s="190">
        <v>22</v>
      </c>
      <c r="I15" s="190">
        <v>184</v>
      </c>
      <c r="J15" s="190">
        <v>169</v>
      </c>
      <c r="K15" s="190">
        <v>15</v>
      </c>
      <c r="L15" s="321">
        <v>157</v>
      </c>
      <c r="M15" s="321">
        <v>136</v>
      </c>
      <c r="N15" s="322">
        <v>21</v>
      </c>
      <c r="O15" s="111">
        <v>158</v>
      </c>
      <c r="P15" s="111">
        <v>136</v>
      </c>
      <c r="Q15" s="190">
        <v>22</v>
      </c>
      <c r="R15" s="321">
        <v>100</v>
      </c>
      <c r="S15" s="321">
        <v>87</v>
      </c>
      <c r="T15" s="324">
        <v>13</v>
      </c>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c r="BR15" s="312"/>
      <c r="BS15" s="312"/>
      <c r="BT15" s="312"/>
      <c r="BU15" s="312"/>
      <c r="BV15" s="312"/>
      <c r="BW15" s="312"/>
      <c r="BX15" s="312"/>
      <c r="BY15" s="312"/>
      <c r="BZ15" s="312"/>
      <c r="CA15" s="312"/>
      <c r="CB15" s="312"/>
      <c r="CC15" s="312"/>
      <c r="CD15" s="312"/>
      <c r="CE15" s="312"/>
      <c r="CF15" s="312"/>
      <c r="CG15" s="312"/>
      <c r="CH15" s="312"/>
      <c r="CI15" s="312"/>
      <c r="CJ15" s="312"/>
      <c r="CK15" s="312"/>
      <c r="CL15" s="312"/>
      <c r="CM15" s="312"/>
      <c r="CN15" s="312"/>
      <c r="CO15" s="312"/>
      <c r="CP15" s="312"/>
      <c r="CQ15" s="312"/>
      <c r="CR15" s="312"/>
      <c r="CS15" s="312"/>
      <c r="CT15" s="312"/>
      <c r="CU15" s="312"/>
      <c r="CV15" s="312"/>
      <c r="CW15" s="312"/>
      <c r="CX15" s="312"/>
      <c r="CY15" s="312"/>
      <c r="CZ15" s="312"/>
      <c r="DA15" s="312"/>
      <c r="DB15" s="312"/>
      <c r="DC15" s="312"/>
      <c r="DD15" s="312"/>
      <c r="DE15" s="312"/>
      <c r="DF15" s="312"/>
      <c r="DG15" s="312"/>
      <c r="DH15" s="312"/>
      <c r="DI15" s="312"/>
      <c r="DJ15" s="312"/>
      <c r="DK15" s="312"/>
      <c r="DL15" s="312"/>
      <c r="DM15" s="312"/>
      <c r="DN15" s="312"/>
      <c r="DO15" s="312"/>
      <c r="DP15" s="312"/>
      <c r="DQ15" s="312"/>
      <c r="DR15" s="312"/>
      <c r="DS15" s="312"/>
      <c r="DT15" s="312"/>
      <c r="DU15" s="312"/>
      <c r="DV15" s="312"/>
      <c r="DW15" s="312"/>
      <c r="DX15" s="312"/>
      <c r="DY15" s="312"/>
      <c r="DZ15" s="312"/>
      <c r="EA15" s="312"/>
      <c r="EB15" s="312"/>
      <c r="EC15" s="312"/>
      <c r="ED15" s="312"/>
      <c r="EE15" s="312"/>
      <c r="EF15" s="312"/>
      <c r="EG15" s="312"/>
      <c r="EH15" s="312"/>
      <c r="EI15" s="312"/>
      <c r="EJ15" s="312"/>
      <c r="EK15" s="312"/>
      <c r="EL15" s="312"/>
      <c r="EM15" s="312"/>
      <c r="EN15" s="312"/>
      <c r="EO15" s="312"/>
      <c r="EP15" s="312"/>
      <c r="EQ15" s="312"/>
      <c r="ER15" s="312"/>
      <c r="ES15" s="312"/>
      <c r="ET15" s="312"/>
      <c r="EU15" s="312"/>
      <c r="EV15" s="312"/>
      <c r="EW15" s="312"/>
      <c r="EX15" s="312"/>
      <c r="EY15" s="312"/>
      <c r="EZ15" s="312"/>
      <c r="FA15" s="312"/>
      <c r="FB15" s="312"/>
      <c r="FC15" s="312"/>
      <c r="FD15" s="312"/>
      <c r="FE15" s="312"/>
      <c r="FF15" s="312"/>
      <c r="FG15" s="312"/>
      <c r="FH15" s="312"/>
      <c r="FI15" s="312"/>
      <c r="FJ15" s="312"/>
      <c r="FK15" s="312"/>
      <c r="FL15" s="312"/>
      <c r="FM15" s="312"/>
      <c r="FN15" s="312"/>
      <c r="FO15" s="312"/>
      <c r="FP15" s="312"/>
      <c r="FQ15" s="312"/>
      <c r="FR15" s="312"/>
      <c r="FS15" s="312"/>
      <c r="FT15" s="312"/>
      <c r="FU15" s="312"/>
      <c r="FV15" s="312"/>
      <c r="FW15" s="312"/>
      <c r="FX15" s="312"/>
      <c r="FY15" s="312"/>
      <c r="FZ15" s="312"/>
      <c r="GA15" s="312"/>
      <c r="GB15" s="312"/>
      <c r="GC15" s="312"/>
      <c r="GD15" s="312"/>
      <c r="GE15" s="312"/>
      <c r="GF15" s="312"/>
      <c r="GG15" s="312"/>
      <c r="GH15" s="312"/>
      <c r="GI15" s="312"/>
      <c r="GJ15" s="312"/>
      <c r="GK15" s="312"/>
      <c r="GL15" s="312"/>
      <c r="GM15" s="312"/>
      <c r="GN15" s="312"/>
      <c r="GO15" s="312"/>
      <c r="GP15" s="312"/>
      <c r="GQ15" s="312"/>
      <c r="GR15" s="312"/>
      <c r="GS15" s="312"/>
      <c r="GT15" s="312"/>
      <c r="GU15" s="312"/>
      <c r="GV15" s="312"/>
      <c r="GW15" s="312"/>
      <c r="GX15" s="312"/>
      <c r="GY15" s="312"/>
      <c r="GZ15" s="312"/>
      <c r="HA15" s="312"/>
      <c r="HB15" s="312"/>
      <c r="HC15" s="312"/>
      <c r="HD15" s="312"/>
      <c r="HE15" s="312"/>
      <c r="HF15" s="312"/>
      <c r="HG15" s="312"/>
      <c r="HH15" s="312"/>
      <c r="HI15" s="312"/>
      <c r="HJ15" s="312"/>
      <c r="HK15" s="312"/>
      <c r="HL15" s="312"/>
      <c r="HM15" s="312"/>
      <c r="HN15" s="312"/>
      <c r="HO15" s="312"/>
      <c r="HP15" s="312"/>
      <c r="HQ15" s="312"/>
      <c r="HR15" s="312"/>
      <c r="HS15" s="312"/>
      <c r="HT15" s="312"/>
      <c r="HU15" s="312"/>
      <c r="HV15" s="312"/>
      <c r="HW15" s="312"/>
      <c r="HX15" s="312"/>
      <c r="HY15" s="312"/>
      <c r="HZ15" s="312"/>
      <c r="IA15" s="312"/>
      <c r="IB15" s="312"/>
      <c r="IC15" s="312"/>
      <c r="ID15" s="312"/>
      <c r="IE15" s="312"/>
      <c r="IF15" s="312"/>
      <c r="IG15" s="312"/>
      <c r="IH15" s="312"/>
      <c r="II15" s="312"/>
      <c r="IJ15" s="312"/>
      <c r="IK15" s="312"/>
      <c r="IL15" s="312"/>
      <c r="IM15" s="312"/>
      <c r="IN15" s="312"/>
      <c r="IO15" s="312"/>
      <c r="IP15" s="312"/>
      <c r="IQ15" s="312"/>
      <c r="IR15" s="312"/>
      <c r="IS15" s="312"/>
      <c r="IT15" s="312"/>
      <c r="IU15" s="312"/>
      <c r="IV15" s="312"/>
      <c r="IW15" s="312"/>
      <c r="IX15" s="312"/>
      <c r="IY15" s="312"/>
      <c r="IZ15" s="312"/>
      <c r="JA15" s="312"/>
      <c r="JB15" s="312"/>
    </row>
    <row r="16" spans="1:262" ht="18" customHeight="1">
      <c r="A16" s="332"/>
      <c r="B16" s="323" t="s">
        <v>391</v>
      </c>
      <c r="C16" s="2248">
        <v>874</v>
      </c>
      <c r="D16" s="2248">
        <v>721</v>
      </c>
      <c r="E16" s="2248">
        <v>153</v>
      </c>
      <c r="F16" s="2248">
        <v>788</v>
      </c>
      <c r="G16" s="2248">
        <v>625</v>
      </c>
      <c r="H16" s="2248">
        <v>163</v>
      </c>
      <c r="I16" s="2245">
        <v>783</v>
      </c>
      <c r="J16" s="2245">
        <v>635</v>
      </c>
      <c r="K16" s="2245">
        <v>148</v>
      </c>
      <c r="L16" s="321">
        <v>105</v>
      </c>
      <c r="M16" s="321">
        <v>67</v>
      </c>
      <c r="N16" s="322">
        <v>38</v>
      </c>
      <c r="O16" s="111">
        <v>90</v>
      </c>
      <c r="P16" s="111">
        <v>69</v>
      </c>
      <c r="Q16" s="111">
        <v>21</v>
      </c>
      <c r="R16" s="321">
        <v>91</v>
      </c>
      <c r="S16" s="321">
        <v>62</v>
      </c>
      <c r="T16" s="321">
        <v>29</v>
      </c>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2"/>
      <c r="BR16" s="312"/>
      <c r="BS16" s="312"/>
      <c r="BT16" s="312"/>
      <c r="BU16" s="312"/>
      <c r="BV16" s="312"/>
      <c r="BW16" s="312"/>
      <c r="BX16" s="312"/>
      <c r="BY16" s="312"/>
      <c r="BZ16" s="312"/>
      <c r="CA16" s="312"/>
      <c r="CB16" s="312"/>
      <c r="CC16" s="312"/>
      <c r="CD16" s="312"/>
      <c r="CE16" s="312"/>
      <c r="CF16" s="312"/>
      <c r="CG16" s="312"/>
      <c r="CH16" s="312"/>
      <c r="CI16" s="312"/>
      <c r="CJ16" s="312"/>
      <c r="CK16" s="312"/>
      <c r="CL16" s="312"/>
      <c r="CM16" s="312"/>
      <c r="CN16" s="312"/>
      <c r="CO16" s="312"/>
      <c r="CP16" s="312"/>
      <c r="CQ16" s="312"/>
      <c r="CR16" s="312"/>
      <c r="CS16" s="312"/>
      <c r="CT16" s="312"/>
      <c r="CU16" s="312"/>
      <c r="CV16" s="312"/>
      <c r="CW16" s="312"/>
      <c r="CX16" s="312"/>
      <c r="CY16" s="312"/>
      <c r="CZ16" s="312"/>
      <c r="DA16" s="312"/>
      <c r="DB16" s="312"/>
      <c r="DC16" s="312"/>
      <c r="DD16" s="312"/>
      <c r="DE16" s="312"/>
      <c r="DF16" s="312"/>
      <c r="DG16" s="312"/>
      <c r="DH16" s="312"/>
      <c r="DI16" s="312"/>
      <c r="DJ16" s="312"/>
      <c r="DK16" s="312"/>
      <c r="DL16" s="312"/>
      <c r="DM16" s="312"/>
      <c r="DN16" s="312"/>
      <c r="DO16" s="312"/>
      <c r="DP16" s="312"/>
      <c r="DQ16" s="312"/>
      <c r="DR16" s="312"/>
      <c r="DS16" s="312"/>
      <c r="DT16" s="312"/>
      <c r="DU16" s="312"/>
      <c r="DV16" s="312"/>
      <c r="DW16" s="312"/>
      <c r="DX16" s="312"/>
      <c r="DY16" s="312"/>
      <c r="DZ16" s="312"/>
      <c r="EA16" s="312"/>
      <c r="EB16" s="312"/>
      <c r="EC16" s="312"/>
      <c r="ED16" s="312"/>
      <c r="EE16" s="312"/>
      <c r="EF16" s="312"/>
      <c r="EG16" s="312"/>
      <c r="EH16" s="312"/>
      <c r="EI16" s="312"/>
      <c r="EJ16" s="312"/>
      <c r="EK16" s="312"/>
      <c r="EL16" s="312"/>
      <c r="EM16" s="312"/>
      <c r="EN16" s="312"/>
      <c r="EO16" s="312"/>
      <c r="EP16" s="312"/>
      <c r="EQ16" s="312"/>
      <c r="ER16" s="312"/>
      <c r="ES16" s="312"/>
      <c r="ET16" s="312"/>
      <c r="EU16" s="312"/>
      <c r="EV16" s="312"/>
      <c r="EW16" s="312"/>
      <c r="EX16" s="312"/>
      <c r="EY16" s="312"/>
      <c r="EZ16" s="312"/>
      <c r="FA16" s="312"/>
      <c r="FB16" s="312"/>
      <c r="FC16" s="312"/>
      <c r="FD16" s="312"/>
      <c r="FE16" s="312"/>
      <c r="FF16" s="312"/>
      <c r="FG16" s="312"/>
      <c r="FH16" s="312"/>
      <c r="FI16" s="312"/>
      <c r="FJ16" s="312"/>
      <c r="FK16" s="312"/>
      <c r="FL16" s="312"/>
      <c r="FM16" s="312"/>
      <c r="FN16" s="312"/>
      <c r="FO16" s="312"/>
      <c r="FP16" s="312"/>
      <c r="FQ16" s="312"/>
      <c r="FR16" s="312"/>
      <c r="FS16" s="312"/>
      <c r="FT16" s="312"/>
      <c r="FU16" s="312"/>
      <c r="FV16" s="312"/>
      <c r="FW16" s="312"/>
      <c r="FX16" s="312"/>
      <c r="FY16" s="312"/>
      <c r="FZ16" s="312"/>
      <c r="GA16" s="312"/>
      <c r="GB16" s="312"/>
      <c r="GC16" s="312"/>
      <c r="GD16" s="312"/>
      <c r="GE16" s="312"/>
      <c r="GF16" s="312"/>
      <c r="GG16" s="312"/>
      <c r="GH16" s="312"/>
      <c r="GI16" s="312"/>
      <c r="GJ16" s="312"/>
      <c r="GK16" s="312"/>
      <c r="GL16" s="312"/>
      <c r="GM16" s="312"/>
      <c r="GN16" s="312"/>
      <c r="GO16" s="312"/>
      <c r="GP16" s="312"/>
      <c r="GQ16" s="312"/>
      <c r="GR16" s="312"/>
      <c r="GS16" s="312"/>
      <c r="GT16" s="312"/>
      <c r="GU16" s="312"/>
      <c r="GV16" s="312"/>
      <c r="GW16" s="312"/>
      <c r="GX16" s="312"/>
      <c r="GY16" s="312"/>
      <c r="GZ16" s="312"/>
      <c r="HA16" s="312"/>
      <c r="HB16" s="312"/>
      <c r="HC16" s="312"/>
      <c r="HD16" s="312"/>
      <c r="HE16" s="312"/>
      <c r="HF16" s="312"/>
      <c r="HG16" s="312"/>
      <c r="HH16" s="312"/>
      <c r="HI16" s="312"/>
      <c r="HJ16" s="312"/>
      <c r="HK16" s="312"/>
      <c r="HL16" s="312"/>
      <c r="HM16" s="312"/>
      <c r="HN16" s="312"/>
      <c r="HO16" s="312"/>
      <c r="HP16" s="312"/>
      <c r="HQ16" s="312"/>
      <c r="HR16" s="312"/>
      <c r="HS16" s="312"/>
      <c r="HT16" s="312"/>
      <c r="HU16" s="312"/>
      <c r="HV16" s="312"/>
      <c r="HW16" s="312"/>
      <c r="HX16" s="312"/>
      <c r="HY16" s="312"/>
      <c r="HZ16" s="312"/>
      <c r="IA16" s="312"/>
      <c r="IB16" s="312"/>
      <c r="IC16" s="312"/>
      <c r="ID16" s="312"/>
      <c r="IE16" s="312"/>
      <c r="IF16" s="312"/>
      <c r="IG16" s="312"/>
      <c r="IH16" s="312"/>
      <c r="II16" s="312"/>
      <c r="IJ16" s="312"/>
      <c r="IK16" s="312"/>
      <c r="IL16" s="312"/>
      <c r="IM16" s="312"/>
      <c r="IN16" s="312"/>
      <c r="IO16" s="312"/>
      <c r="IP16" s="312"/>
      <c r="IQ16" s="312"/>
      <c r="IR16" s="312"/>
      <c r="IS16" s="312"/>
      <c r="IT16" s="312"/>
      <c r="IU16" s="312"/>
      <c r="IV16" s="312"/>
      <c r="IW16" s="312"/>
      <c r="IX16" s="312"/>
      <c r="IY16" s="312"/>
      <c r="IZ16" s="312"/>
      <c r="JA16" s="312"/>
      <c r="JB16" s="312"/>
    </row>
    <row r="17" spans="1:262" ht="18" customHeight="1">
      <c r="A17" s="332"/>
      <c r="B17" s="323" t="s">
        <v>392</v>
      </c>
      <c r="C17" s="2248"/>
      <c r="D17" s="2248"/>
      <c r="E17" s="2248"/>
      <c r="F17" s="2248"/>
      <c r="G17" s="2248"/>
      <c r="H17" s="2248"/>
      <c r="I17" s="2245"/>
      <c r="J17" s="2245"/>
      <c r="K17" s="2245"/>
      <c r="L17" s="321">
        <v>701</v>
      </c>
      <c r="M17" s="321">
        <v>588</v>
      </c>
      <c r="N17" s="322">
        <v>113</v>
      </c>
      <c r="O17" s="111">
        <v>593</v>
      </c>
      <c r="P17" s="111">
        <v>505</v>
      </c>
      <c r="Q17" s="111">
        <v>88</v>
      </c>
      <c r="R17" s="321">
        <v>499</v>
      </c>
      <c r="S17" s="321">
        <v>411</v>
      </c>
      <c r="T17" s="321">
        <v>88</v>
      </c>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2"/>
      <c r="CE17" s="312"/>
      <c r="CF17" s="312"/>
      <c r="CG17" s="312"/>
      <c r="CH17" s="312"/>
      <c r="CI17" s="312"/>
      <c r="CJ17" s="312"/>
      <c r="CK17" s="312"/>
      <c r="CL17" s="312"/>
      <c r="CM17" s="312"/>
      <c r="CN17" s="312"/>
      <c r="CO17" s="312"/>
      <c r="CP17" s="312"/>
      <c r="CQ17" s="312"/>
      <c r="CR17" s="312"/>
      <c r="CS17" s="312"/>
      <c r="CT17" s="312"/>
      <c r="CU17" s="312"/>
      <c r="CV17" s="312"/>
      <c r="CW17" s="312"/>
      <c r="CX17" s="312"/>
      <c r="CY17" s="312"/>
      <c r="CZ17" s="312"/>
      <c r="DA17" s="312"/>
      <c r="DB17" s="312"/>
      <c r="DC17" s="312"/>
      <c r="DD17" s="312"/>
      <c r="DE17" s="312"/>
      <c r="DF17" s="312"/>
      <c r="DG17" s="312"/>
      <c r="DH17" s="312"/>
      <c r="DI17" s="312"/>
      <c r="DJ17" s="312"/>
      <c r="DK17" s="312"/>
      <c r="DL17" s="312"/>
      <c r="DM17" s="312"/>
      <c r="DN17" s="312"/>
      <c r="DO17" s="312"/>
      <c r="DP17" s="312"/>
      <c r="DQ17" s="312"/>
      <c r="DR17" s="312"/>
      <c r="DS17" s="312"/>
      <c r="DT17" s="312"/>
      <c r="DU17" s="312"/>
      <c r="DV17" s="312"/>
      <c r="DW17" s="312"/>
      <c r="DX17" s="312"/>
      <c r="DY17" s="312"/>
      <c r="DZ17" s="312"/>
      <c r="EA17" s="312"/>
      <c r="EB17" s="312"/>
      <c r="EC17" s="312"/>
      <c r="ED17" s="312"/>
      <c r="EE17" s="312"/>
      <c r="EF17" s="312"/>
      <c r="EG17" s="312"/>
      <c r="EH17" s="312"/>
      <c r="EI17" s="312"/>
      <c r="EJ17" s="312"/>
      <c r="EK17" s="312"/>
      <c r="EL17" s="312"/>
      <c r="EM17" s="312"/>
      <c r="EN17" s="312"/>
      <c r="EO17" s="312"/>
      <c r="EP17" s="312"/>
      <c r="EQ17" s="312"/>
      <c r="ER17" s="312"/>
      <c r="ES17" s="312"/>
      <c r="ET17" s="312"/>
      <c r="EU17" s="312"/>
      <c r="EV17" s="312"/>
      <c r="EW17" s="312"/>
      <c r="EX17" s="312"/>
      <c r="EY17" s="312"/>
      <c r="EZ17" s="312"/>
      <c r="FA17" s="312"/>
      <c r="FB17" s="312"/>
      <c r="FC17" s="312"/>
      <c r="FD17" s="312"/>
      <c r="FE17" s="312"/>
      <c r="FF17" s="312"/>
      <c r="FG17" s="312"/>
      <c r="FH17" s="312"/>
      <c r="FI17" s="312"/>
      <c r="FJ17" s="312"/>
      <c r="FK17" s="312"/>
      <c r="FL17" s="312"/>
      <c r="FM17" s="312"/>
      <c r="FN17" s="312"/>
      <c r="FO17" s="312"/>
      <c r="FP17" s="312"/>
      <c r="FQ17" s="312"/>
      <c r="FR17" s="312"/>
      <c r="FS17" s="312"/>
      <c r="FT17" s="312"/>
      <c r="FU17" s="312"/>
      <c r="FV17" s="312"/>
      <c r="FW17" s="312"/>
      <c r="FX17" s="312"/>
      <c r="FY17" s="312"/>
      <c r="FZ17" s="312"/>
      <c r="GA17" s="312"/>
      <c r="GB17" s="312"/>
      <c r="GC17" s="312"/>
      <c r="GD17" s="312"/>
      <c r="GE17" s="312"/>
      <c r="GF17" s="312"/>
      <c r="GG17" s="312"/>
      <c r="GH17" s="312"/>
      <c r="GI17" s="312"/>
      <c r="GJ17" s="312"/>
      <c r="GK17" s="312"/>
      <c r="GL17" s="312"/>
      <c r="GM17" s="312"/>
      <c r="GN17" s="312"/>
      <c r="GO17" s="312"/>
      <c r="GP17" s="312"/>
      <c r="GQ17" s="312"/>
      <c r="GR17" s="312"/>
      <c r="GS17" s="312"/>
      <c r="GT17" s="312"/>
      <c r="GU17" s="312"/>
      <c r="GV17" s="312"/>
      <c r="GW17" s="312"/>
      <c r="GX17" s="312"/>
      <c r="GY17" s="312"/>
      <c r="GZ17" s="312"/>
      <c r="HA17" s="312"/>
      <c r="HB17" s="312"/>
      <c r="HC17" s="312"/>
      <c r="HD17" s="312"/>
      <c r="HE17" s="312"/>
      <c r="HF17" s="312"/>
      <c r="HG17" s="312"/>
      <c r="HH17" s="312"/>
      <c r="HI17" s="312"/>
      <c r="HJ17" s="312"/>
      <c r="HK17" s="312"/>
      <c r="HL17" s="312"/>
      <c r="HM17" s="312"/>
      <c r="HN17" s="312"/>
      <c r="HO17" s="312"/>
      <c r="HP17" s="312"/>
      <c r="HQ17" s="312"/>
      <c r="HR17" s="312"/>
      <c r="HS17" s="312"/>
      <c r="HT17" s="312"/>
      <c r="HU17" s="312"/>
      <c r="HV17" s="312"/>
      <c r="HW17" s="312"/>
      <c r="HX17" s="312"/>
      <c r="HY17" s="312"/>
      <c r="HZ17" s="312"/>
      <c r="IA17" s="312"/>
      <c r="IB17" s="312"/>
      <c r="IC17" s="312"/>
      <c r="ID17" s="312"/>
      <c r="IE17" s="312"/>
      <c r="IF17" s="312"/>
      <c r="IG17" s="312"/>
      <c r="IH17" s="312"/>
      <c r="II17" s="312"/>
      <c r="IJ17" s="312"/>
      <c r="IK17" s="312"/>
      <c r="IL17" s="312"/>
      <c r="IM17" s="312"/>
      <c r="IN17" s="312"/>
      <c r="IO17" s="312"/>
      <c r="IP17" s="312"/>
      <c r="IQ17" s="312"/>
      <c r="IR17" s="312"/>
      <c r="IS17" s="312"/>
      <c r="IT17" s="312"/>
      <c r="IU17" s="312"/>
      <c r="IV17" s="312"/>
      <c r="IW17" s="312"/>
      <c r="IX17" s="312"/>
      <c r="IY17" s="312"/>
      <c r="IZ17" s="312"/>
      <c r="JA17" s="312"/>
      <c r="JB17" s="312"/>
    </row>
    <row r="18" spans="1:262" ht="18" customHeight="1">
      <c r="A18" s="332"/>
      <c r="B18" s="323" t="s">
        <v>393</v>
      </c>
      <c r="C18" s="111">
        <v>3214</v>
      </c>
      <c r="D18" s="190">
        <v>1466</v>
      </c>
      <c r="E18" s="190">
        <v>1748</v>
      </c>
      <c r="F18" s="190">
        <v>2862</v>
      </c>
      <c r="G18" s="190">
        <v>1239</v>
      </c>
      <c r="H18" s="190">
        <v>1623</v>
      </c>
      <c r="I18" s="190">
        <v>2347</v>
      </c>
      <c r="J18" s="190">
        <v>1029</v>
      </c>
      <c r="K18" s="190">
        <v>1318</v>
      </c>
      <c r="L18" s="321">
        <v>1902</v>
      </c>
      <c r="M18" s="321">
        <v>859</v>
      </c>
      <c r="N18" s="322">
        <v>1043</v>
      </c>
      <c r="O18" s="111">
        <v>1677</v>
      </c>
      <c r="P18" s="111">
        <v>754</v>
      </c>
      <c r="Q18" s="190">
        <v>923</v>
      </c>
      <c r="R18" s="321">
        <v>1495</v>
      </c>
      <c r="S18" s="321">
        <v>677</v>
      </c>
      <c r="T18" s="324">
        <v>818</v>
      </c>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c r="CA18" s="312"/>
      <c r="CB18" s="312"/>
      <c r="CC18" s="312"/>
      <c r="CD18" s="312"/>
      <c r="CE18" s="312"/>
      <c r="CF18" s="312"/>
      <c r="CG18" s="312"/>
      <c r="CH18" s="312"/>
      <c r="CI18" s="312"/>
      <c r="CJ18" s="312"/>
      <c r="CK18" s="312"/>
      <c r="CL18" s="312"/>
      <c r="CM18" s="312"/>
      <c r="CN18" s="312"/>
      <c r="CO18" s="312"/>
      <c r="CP18" s="312"/>
      <c r="CQ18" s="312"/>
      <c r="CR18" s="312"/>
      <c r="CS18" s="312"/>
      <c r="CT18" s="312"/>
      <c r="CU18" s="312"/>
      <c r="CV18" s="312"/>
      <c r="CW18" s="312"/>
      <c r="CX18" s="312"/>
      <c r="CY18" s="312"/>
      <c r="CZ18" s="312"/>
      <c r="DA18" s="312"/>
      <c r="DB18" s="312"/>
      <c r="DC18" s="312"/>
      <c r="DD18" s="312"/>
      <c r="DE18" s="312"/>
      <c r="DF18" s="312"/>
      <c r="DG18" s="312"/>
      <c r="DH18" s="312"/>
      <c r="DI18" s="312"/>
      <c r="DJ18" s="312"/>
      <c r="DK18" s="312"/>
      <c r="DL18" s="312"/>
      <c r="DM18" s="312"/>
      <c r="DN18" s="312"/>
      <c r="DO18" s="312"/>
      <c r="DP18" s="312"/>
      <c r="DQ18" s="312"/>
      <c r="DR18" s="312"/>
      <c r="DS18" s="312"/>
      <c r="DT18" s="312"/>
      <c r="DU18" s="312"/>
      <c r="DV18" s="312"/>
      <c r="DW18" s="312"/>
      <c r="DX18" s="312"/>
      <c r="DY18" s="312"/>
      <c r="DZ18" s="312"/>
      <c r="EA18" s="312"/>
      <c r="EB18" s="312"/>
      <c r="EC18" s="312"/>
      <c r="ED18" s="312"/>
      <c r="EE18" s="312"/>
      <c r="EF18" s="312"/>
      <c r="EG18" s="312"/>
      <c r="EH18" s="312"/>
      <c r="EI18" s="312"/>
      <c r="EJ18" s="312"/>
      <c r="EK18" s="312"/>
      <c r="EL18" s="312"/>
      <c r="EM18" s="312"/>
      <c r="EN18" s="312"/>
      <c r="EO18" s="312"/>
      <c r="EP18" s="312"/>
      <c r="EQ18" s="312"/>
      <c r="ER18" s="312"/>
      <c r="ES18" s="312"/>
      <c r="ET18" s="312"/>
      <c r="EU18" s="312"/>
      <c r="EV18" s="312"/>
      <c r="EW18" s="312"/>
      <c r="EX18" s="312"/>
      <c r="EY18" s="312"/>
      <c r="EZ18" s="312"/>
      <c r="FA18" s="312"/>
      <c r="FB18" s="312"/>
      <c r="FC18" s="312"/>
      <c r="FD18" s="312"/>
      <c r="FE18" s="312"/>
      <c r="FF18" s="312"/>
      <c r="FG18" s="312"/>
      <c r="FH18" s="312"/>
      <c r="FI18" s="312"/>
      <c r="FJ18" s="312"/>
      <c r="FK18" s="312"/>
      <c r="FL18" s="312"/>
      <c r="FM18" s="312"/>
      <c r="FN18" s="312"/>
      <c r="FO18" s="312"/>
      <c r="FP18" s="312"/>
      <c r="FQ18" s="312"/>
      <c r="FR18" s="312"/>
      <c r="FS18" s="312"/>
      <c r="FT18" s="312"/>
      <c r="FU18" s="312"/>
      <c r="FV18" s="312"/>
      <c r="FW18" s="312"/>
      <c r="FX18" s="312"/>
      <c r="FY18" s="312"/>
      <c r="FZ18" s="312"/>
      <c r="GA18" s="312"/>
      <c r="GB18" s="312"/>
      <c r="GC18" s="312"/>
      <c r="GD18" s="312"/>
      <c r="GE18" s="312"/>
      <c r="GF18" s="312"/>
      <c r="GG18" s="312"/>
      <c r="GH18" s="312"/>
      <c r="GI18" s="312"/>
      <c r="GJ18" s="312"/>
      <c r="GK18" s="312"/>
      <c r="GL18" s="312"/>
      <c r="GM18" s="312"/>
      <c r="GN18" s="312"/>
      <c r="GO18" s="312"/>
      <c r="GP18" s="312"/>
      <c r="GQ18" s="312"/>
      <c r="GR18" s="312"/>
      <c r="GS18" s="312"/>
      <c r="GT18" s="312"/>
      <c r="GU18" s="312"/>
      <c r="GV18" s="312"/>
      <c r="GW18" s="312"/>
      <c r="GX18" s="312"/>
      <c r="GY18" s="312"/>
      <c r="GZ18" s="312"/>
      <c r="HA18" s="312"/>
      <c r="HB18" s="312"/>
      <c r="HC18" s="312"/>
      <c r="HD18" s="312"/>
      <c r="HE18" s="312"/>
      <c r="HF18" s="312"/>
      <c r="HG18" s="312"/>
      <c r="HH18" s="312"/>
      <c r="HI18" s="312"/>
      <c r="HJ18" s="312"/>
      <c r="HK18" s="312"/>
      <c r="HL18" s="312"/>
      <c r="HM18" s="312"/>
      <c r="HN18" s="312"/>
      <c r="HO18" s="312"/>
      <c r="HP18" s="312"/>
      <c r="HQ18" s="312"/>
      <c r="HR18" s="312"/>
      <c r="HS18" s="312"/>
      <c r="HT18" s="312"/>
      <c r="HU18" s="312"/>
      <c r="HV18" s="312"/>
      <c r="HW18" s="312"/>
      <c r="HX18" s="312"/>
      <c r="HY18" s="312"/>
      <c r="HZ18" s="312"/>
      <c r="IA18" s="312"/>
      <c r="IB18" s="312"/>
      <c r="IC18" s="312"/>
      <c r="ID18" s="312"/>
      <c r="IE18" s="312"/>
      <c r="IF18" s="312"/>
      <c r="IG18" s="312"/>
      <c r="IH18" s="312"/>
      <c r="II18" s="312"/>
      <c r="IJ18" s="312"/>
      <c r="IK18" s="312"/>
      <c r="IL18" s="312"/>
      <c r="IM18" s="312"/>
      <c r="IN18" s="312"/>
      <c r="IO18" s="312"/>
      <c r="IP18" s="312"/>
      <c r="IQ18" s="312"/>
      <c r="IR18" s="312"/>
      <c r="IS18" s="312"/>
      <c r="IT18" s="312"/>
      <c r="IU18" s="312"/>
      <c r="IV18" s="312"/>
      <c r="IW18" s="312"/>
      <c r="IX18" s="312"/>
      <c r="IY18" s="312"/>
      <c r="IZ18" s="312"/>
      <c r="JA18" s="312"/>
      <c r="JB18" s="312"/>
    </row>
    <row r="19" spans="1:262" ht="18" customHeight="1">
      <c r="A19" s="332"/>
      <c r="B19" s="323" t="s">
        <v>394</v>
      </c>
      <c r="C19" s="111">
        <v>297</v>
      </c>
      <c r="D19" s="190">
        <v>122</v>
      </c>
      <c r="E19" s="190">
        <v>175</v>
      </c>
      <c r="F19" s="190">
        <v>256</v>
      </c>
      <c r="G19" s="190">
        <v>113</v>
      </c>
      <c r="H19" s="190">
        <v>143</v>
      </c>
      <c r="I19" s="190">
        <v>215</v>
      </c>
      <c r="J19" s="190">
        <v>88</v>
      </c>
      <c r="K19" s="190">
        <v>127</v>
      </c>
      <c r="L19" s="321">
        <v>205</v>
      </c>
      <c r="M19" s="321">
        <v>75</v>
      </c>
      <c r="N19" s="322">
        <v>130</v>
      </c>
      <c r="O19" s="111">
        <v>181</v>
      </c>
      <c r="P19" s="111">
        <v>68</v>
      </c>
      <c r="Q19" s="190">
        <v>113</v>
      </c>
      <c r="R19" s="321">
        <v>153</v>
      </c>
      <c r="S19" s="321">
        <v>48</v>
      </c>
      <c r="T19" s="324">
        <v>105</v>
      </c>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c r="BR19" s="312"/>
      <c r="BS19" s="312"/>
      <c r="BT19" s="312"/>
      <c r="BU19" s="312"/>
      <c r="BV19" s="312"/>
      <c r="BW19" s="312"/>
      <c r="BX19" s="312"/>
      <c r="BY19" s="312"/>
      <c r="BZ19" s="312"/>
      <c r="CA19" s="312"/>
      <c r="CB19" s="312"/>
      <c r="CC19" s="312"/>
      <c r="CD19" s="312"/>
      <c r="CE19" s="312"/>
      <c r="CF19" s="312"/>
      <c r="CG19" s="312"/>
      <c r="CH19" s="312"/>
      <c r="CI19" s="312"/>
      <c r="CJ19" s="312"/>
      <c r="CK19" s="312"/>
      <c r="CL19" s="312"/>
      <c r="CM19" s="312"/>
      <c r="CN19" s="312"/>
      <c r="CO19" s="312"/>
      <c r="CP19" s="312"/>
      <c r="CQ19" s="312"/>
      <c r="CR19" s="312"/>
      <c r="CS19" s="312"/>
      <c r="CT19" s="312"/>
      <c r="CU19" s="312"/>
      <c r="CV19" s="312"/>
      <c r="CW19" s="312"/>
      <c r="CX19" s="312"/>
      <c r="CY19" s="312"/>
      <c r="CZ19" s="312"/>
      <c r="DA19" s="312"/>
      <c r="DB19" s="312"/>
      <c r="DC19" s="312"/>
      <c r="DD19" s="312"/>
      <c r="DE19" s="312"/>
      <c r="DF19" s="312"/>
      <c r="DG19" s="312"/>
      <c r="DH19" s="312"/>
      <c r="DI19" s="312"/>
      <c r="DJ19" s="312"/>
      <c r="DK19" s="312"/>
      <c r="DL19" s="312"/>
      <c r="DM19" s="312"/>
      <c r="DN19" s="312"/>
      <c r="DO19" s="312"/>
      <c r="DP19" s="312"/>
      <c r="DQ19" s="312"/>
      <c r="DR19" s="312"/>
      <c r="DS19" s="312"/>
      <c r="DT19" s="312"/>
      <c r="DU19" s="312"/>
      <c r="DV19" s="312"/>
      <c r="DW19" s="312"/>
      <c r="DX19" s="312"/>
      <c r="DY19" s="312"/>
      <c r="DZ19" s="312"/>
      <c r="EA19" s="312"/>
      <c r="EB19" s="312"/>
      <c r="EC19" s="312"/>
      <c r="ED19" s="312"/>
      <c r="EE19" s="312"/>
      <c r="EF19" s="312"/>
      <c r="EG19" s="312"/>
      <c r="EH19" s="312"/>
      <c r="EI19" s="312"/>
      <c r="EJ19" s="312"/>
      <c r="EK19" s="312"/>
      <c r="EL19" s="312"/>
      <c r="EM19" s="312"/>
      <c r="EN19" s="312"/>
      <c r="EO19" s="312"/>
      <c r="EP19" s="312"/>
      <c r="EQ19" s="312"/>
      <c r="ER19" s="312"/>
      <c r="ES19" s="312"/>
      <c r="ET19" s="312"/>
      <c r="EU19" s="312"/>
      <c r="EV19" s="312"/>
      <c r="EW19" s="312"/>
      <c r="EX19" s="312"/>
      <c r="EY19" s="312"/>
      <c r="EZ19" s="312"/>
      <c r="FA19" s="312"/>
      <c r="FB19" s="312"/>
      <c r="FC19" s="312"/>
      <c r="FD19" s="312"/>
      <c r="FE19" s="312"/>
      <c r="FF19" s="312"/>
      <c r="FG19" s="312"/>
      <c r="FH19" s="312"/>
      <c r="FI19" s="312"/>
      <c r="FJ19" s="312"/>
      <c r="FK19" s="312"/>
      <c r="FL19" s="312"/>
      <c r="FM19" s="312"/>
      <c r="FN19" s="312"/>
      <c r="FO19" s="312"/>
      <c r="FP19" s="312"/>
      <c r="FQ19" s="312"/>
      <c r="FR19" s="312"/>
      <c r="FS19" s="312"/>
      <c r="FT19" s="312"/>
      <c r="FU19" s="312"/>
      <c r="FV19" s="312"/>
      <c r="FW19" s="312"/>
      <c r="FX19" s="312"/>
      <c r="FY19" s="312"/>
      <c r="FZ19" s="312"/>
      <c r="GA19" s="312"/>
      <c r="GB19" s="312"/>
      <c r="GC19" s="312"/>
      <c r="GD19" s="312"/>
      <c r="GE19" s="312"/>
      <c r="GF19" s="312"/>
      <c r="GG19" s="312"/>
      <c r="GH19" s="312"/>
      <c r="GI19" s="312"/>
      <c r="GJ19" s="312"/>
      <c r="GK19" s="312"/>
      <c r="GL19" s="312"/>
      <c r="GM19" s="312"/>
      <c r="GN19" s="312"/>
      <c r="GO19" s="312"/>
      <c r="GP19" s="312"/>
      <c r="GQ19" s="312"/>
      <c r="GR19" s="312"/>
      <c r="GS19" s="312"/>
      <c r="GT19" s="312"/>
      <c r="GU19" s="312"/>
      <c r="GV19" s="312"/>
      <c r="GW19" s="312"/>
      <c r="GX19" s="312"/>
      <c r="GY19" s="312"/>
      <c r="GZ19" s="312"/>
      <c r="HA19" s="312"/>
      <c r="HB19" s="312"/>
      <c r="HC19" s="312"/>
      <c r="HD19" s="312"/>
      <c r="HE19" s="312"/>
      <c r="HF19" s="312"/>
      <c r="HG19" s="312"/>
      <c r="HH19" s="312"/>
      <c r="HI19" s="312"/>
      <c r="HJ19" s="312"/>
      <c r="HK19" s="312"/>
      <c r="HL19" s="312"/>
      <c r="HM19" s="312"/>
      <c r="HN19" s="312"/>
      <c r="HO19" s="312"/>
      <c r="HP19" s="312"/>
      <c r="HQ19" s="312"/>
      <c r="HR19" s="312"/>
      <c r="HS19" s="312"/>
      <c r="HT19" s="312"/>
      <c r="HU19" s="312"/>
      <c r="HV19" s="312"/>
      <c r="HW19" s="312"/>
      <c r="HX19" s="312"/>
      <c r="HY19" s="312"/>
      <c r="HZ19" s="312"/>
      <c r="IA19" s="312"/>
      <c r="IB19" s="312"/>
      <c r="IC19" s="312"/>
      <c r="ID19" s="312"/>
      <c r="IE19" s="312"/>
      <c r="IF19" s="312"/>
      <c r="IG19" s="312"/>
      <c r="IH19" s="312"/>
      <c r="II19" s="312"/>
      <c r="IJ19" s="312"/>
      <c r="IK19" s="312"/>
      <c r="IL19" s="312"/>
      <c r="IM19" s="312"/>
      <c r="IN19" s="312"/>
      <c r="IO19" s="312"/>
      <c r="IP19" s="312"/>
      <c r="IQ19" s="312"/>
      <c r="IR19" s="312"/>
      <c r="IS19" s="312"/>
      <c r="IT19" s="312"/>
      <c r="IU19" s="312"/>
      <c r="IV19" s="312"/>
      <c r="IW19" s="312"/>
      <c r="IX19" s="312"/>
      <c r="IY19" s="312"/>
      <c r="IZ19" s="312"/>
      <c r="JA19" s="312"/>
      <c r="JB19" s="312"/>
    </row>
    <row r="20" spans="1:262" ht="18" customHeight="1">
      <c r="A20" s="332"/>
      <c r="B20" s="323" t="s">
        <v>395</v>
      </c>
      <c r="C20" s="2249">
        <v>62</v>
      </c>
      <c r="D20" s="2248">
        <v>42</v>
      </c>
      <c r="E20" s="2248">
        <v>20</v>
      </c>
      <c r="F20" s="2248">
        <v>58</v>
      </c>
      <c r="G20" s="2248">
        <v>45</v>
      </c>
      <c r="H20" s="2248">
        <v>13</v>
      </c>
      <c r="I20" s="190">
        <v>54</v>
      </c>
      <c r="J20" s="190">
        <v>32</v>
      </c>
      <c r="K20" s="190">
        <v>22</v>
      </c>
      <c r="L20" s="321">
        <v>129</v>
      </c>
      <c r="M20" s="321">
        <v>88</v>
      </c>
      <c r="N20" s="322">
        <v>41</v>
      </c>
      <c r="O20" s="111">
        <v>118</v>
      </c>
      <c r="P20" s="111">
        <v>69</v>
      </c>
      <c r="Q20" s="190">
        <v>49</v>
      </c>
      <c r="R20" s="321">
        <v>123</v>
      </c>
      <c r="S20" s="321">
        <v>65</v>
      </c>
      <c r="T20" s="324">
        <v>58</v>
      </c>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A20" s="312"/>
      <c r="CB20" s="312"/>
      <c r="CC20" s="312"/>
      <c r="CD20" s="312"/>
      <c r="CE20" s="312"/>
      <c r="CF20" s="312"/>
      <c r="CG20" s="312"/>
      <c r="CH20" s="312"/>
      <c r="CI20" s="312"/>
      <c r="CJ20" s="312"/>
      <c r="CK20" s="312"/>
      <c r="CL20" s="312"/>
      <c r="CM20" s="312"/>
      <c r="CN20" s="312"/>
      <c r="CO20" s="312"/>
      <c r="CP20" s="312"/>
      <c r="CQ20" s="312"/>
      <c r="CR20" s="312"/>
      <c r="CS20" s="312"/>
      <c r="CT20" s="312"/>
      <c r="CU20" s="312"/>
      <c r="CV20" s="312"/>
      <c r="CW20" s="312"/>
      <c r="CX20" s="312"/>
      <c r="CY20" s="312"/>
      <c r="CZ20" s="312"/>
      <c r="DA20" s="312"/>
      <c r="DB20" s="312"/>
      <c r="DC20" s="312"/>
      <c r="DD20" s="312"/>
      <c r="DE20" s="312"/>
      <c r="DF20" s="312"/>
      <c r="DG20" s="312"/>
      <c r="DH20" s="312"/>
      <c r="DI20" s="312"/>
      <c r="DJ20" s="312"/>
      <c r="DK20" s="312"/>
      <c r="DL20" s="312"/>
      <c r="DM20" s="312"/>
      <c r="DN20" s="312"/>
      <c r="DO20" s="312"/>
      <c r="DP20" s="312"/>
      <c r="DQ20" s="312"/>
      <c r="DR20" s="312"/>
      <c r="DS20" s="312"/>
      <c r="DT20" s="312"/>
      <c r="DU20" s="312"/>
      <c r="DV20" s="312"/>
      <c r="DW20" s="312"/>
      <c r="DX20" s="312"/>
      <c r="DY20" s="312"/>
      <c r="DZ20" s="312"/>
      <c r="EA20" s="312"/>
      <c r="EB20" s="312"/>
      <c r="EC20" s="312"/>
      <c r="ED20" s="312"/>
      <c r="EE20" s="312"/>
      <c r="EF20" s="312"/>
      <c r="EG20" s="312"/>
      <c r="EH20" s="312"/>
      <c r="EI20" s="312"/>
      <c r="EJ20" s="312"/>
      <c r="EK20" s="312"/>
      <c r="EL20" s="312"/>
      <c r="EM20" s="312"/>
      <c r="EN20" s="312"/>
      <c r="EO20" s="312"/>
      <c r="EP20" s="312"/>
      <c r="EQ20" s="312"/>
      <c r="ER20" s="312"/>
      <c r="ES20" s="312"/>
      <c r="ET20" s="312"/>
      <c r="EU20" s="312"/>
      <c r="EV20" s="312"/>
      <c r="EW20" s="312"/>
      <c r="EX20" s="312"/>
      <c r="EY20" s="312"/>
      <c r="EZ20" s="312"/>
      <c r="FA20" s="312"/>
      <c r="FB20" s="312"/>
      <c r="FC20" s="312"/>
      <c r="FD20" s="312"/>
      <c r="FE20" s="312"/>
      <c r="FF20" s="312"/>
      <c r="FG20" s="312"/>
      <c r="FH20" s="312"/>
      <c r="FI20" s="312"/>
      <c r="FJ20" s="312"/>
      <c r="FK20" s="312"/>
      <c r="FL20" s="312"/>
      <c r="FM20" s="312"/>
      <c r="FN20" s="312"/>
      <c r="FO20" s="312"/>
      <c r="FP20" s="312"/>
      <c r="FQ20" s="312"/>
      <c r="FR20" s="312"/>
      <c r="FS20" s="312"/>
      <c r="FT20" s="312"/>
      <c r="FU20" s="312"/>
      <c r="FV20" s="312"/>
      <c r="FW20" s="312"/>
      <c r="FX20" s="312"/>
      <c r="FY20" s="312"/>
      <c r="FZ20" s="312"/>
      <c r="GA20" s="312"/>
      <c r="GB20" s="312"/>
      <c r="GC20" s="312"/>
      <c r="GD20" s="312"/>
      <c r="GE20" s="312"/>
      <c r="GF20" s="312"/>
      <c r="GG20" s="312"/>
      <c r="GH20" s="312"/>
      <c r="GI20" s="312"/>
      <c r="GJ20" s="312"/>
      <c r="GK20" s="312"/>
      <c r="GL20" s="312"/>
      <c r="GM20" s="312"/>
      <c r="GN20" s="312"/>
      <c r="GO20" s="312"/>
      <c r="GP20" s="312"/>
      <c r="GQ20" s="312"/>
      <c r="GR20" s="312"/>
      <c r="GS20" s="312"/>
      <c r="GT20" s="312"/>
      <c r="GU20" s="312"/>
      <c r="GV20" s="312"/>
      <c r="GW20" s="312"/>
      <c r="GX20" s="312"/>
      <c r="GY20" s="312"/>
      <c r="GZ20" s="312"/>
      <c r="HA20" s="312"/>
      <c r="HB20" s="312"/>
      <c r="HC20" s="312"/>
      <c r="HD20" s="312"/>
      <c r="HE20" s="312"/>
      <c r="HF20" s="312"/>
      <c r="HG20" s="312"/>
      <c r="HH20" s="312"/>
      <c r="HI20" s="312"/>
      <c r="HJ20" s="312"/>
      <c r="HK20" s="312"/>
      <c r="HL20" s="312"/>
      <c r="HM20" s="312"/>
      <c r="HN20" s="312"/>
      <c r="HO20" s="312"/>
      <c r="HP20" s="312"/>
      <c r="HQ20" s="312"/>
      <c r="HR20" s="312"/>
      <c r="HS20" s="312"/>
      <c r="HT20" s="312"/>
      <c r="HU20" s="312"/>
      <c r="HV20" s="312"/>
      <c r="HW20" s="312"/>
      <c r="HX20" s="312"/>
      <c r="HY20" s="312"/>
      <c r="HZ20" s="312"/>
      <c r="IA20" s="312"/>
      <c r="IB20" s="312"/>
      <c r="IC20" s="312"/>
      <c r="ID20" s="312"/>
      <c r="IE20" s="312"/>
      <c r="IF20" s="312"/>
      <c r="IG20" s="312"/>
      <c r="IH20" s="312"/>
      <c r="II20" s="312"/>
      <c r="IJ20" s="312"/>
      <c r="IK20" s="312"/>
      <c r="IL20" s="312"/>
      <c r="IM20" s="312"/>
      <c r="IN20" s="312"/>
      <c r="IO20" s="312"/>
      <c r="IP20" s="312"/>
      <c r="IQ20" s="312"/>
      <c r="IR20" s="312"/>
      <c r="IS20" s="312"/>
      <c r="IT20" s="312"/>
      <c r="IU20" s="312"/>
      <c r="IV20" s="312"/>
      <c r="IW20" s="312"/>
      <c r="IX20" s="312"/>
      <c r="IY20" s="312"/>
      <c r="IZ20" s="312"/>
      <c r="JA20" s="312"/>
      <c r="JB20" s="312"/>
    </row>
    <row r="21" spans="1:262" ht="18" customHeight="1">
      <c r="A21" s="332"/>
      <c r="B21" s="323" t="s">
        <v>396</v>
      </c>
      <c r="C21" s="2249"/>
      <c r="D21" s="2248"/>
      <c r="E21" s="2248"/>
      <c r="F21" s="2248"/>
      <c r="G21" s="2248"/>
      <c r="H21" s="2248"/>
      <c r="I21" s="190">
        <v>1353</v>
      </c>
      <c r="J21" s="190">
        <v>512</v>
      </c>
      <c r="K21" s="190">
        <v>841</v>
      </c>
      <c r="L21" s="321">
        <v>1257</v>
      </c>
      <c r="M21" s="321">
        <v>482</v>
      </c>
      <c r="N21" s="322">
        <v>775</v>
      </c>
      <c r="O21" s="112">
        <v>1146</v>
      </c>
      <c r="P21" s="112">
        <v>442</v>
      </c>
      <c r="Q21" s="112">
        <v>704</v>
      </c>
      <c r="R21" s="333">
        <v>263</v>
      </c>
      <c r="S21" s="333">
        <v>173</v>
      </c>
      <c r="T21" s="333">
        <v>90</v>
      </c>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312"/>
      <c r="BC21" s="312"/>
      <c r="BD21" s="312"/>
      <c r="BE21" s="312"/>
      <c r="BF21" s="312"/>
      <c r="BG21" s="312"/>
      <c r="BH21" s="312"/>
      <c r="BI21" s="312"/>
      <c r="BJ21" s="312"/>
      <c r="BK21" s="312"/>
      <c r="BL21" s="312"/>
      <c r="BM21" s="312"/>
      <c r="BN21" s="312"/>
      <c r="BO21" s="312"/>
      <c r="BP21" s="312"/>
      <c r="BQ21" s="312"/>
      <c r="BR21" s="312"/>
      <c r="BS21" s="312"/>
      <c r="BT21" s="312"/>
      <c r="BU21" s="312"/>
      <c r="BV21" s="312"/>
      <c r="BW21" s="312"/>
      <c r="BX21" s="312"/>
      <c r="BY21" s="312"/>
      <c r="BZ21" s="312"/>
      <c r="CA21" s="312"/>
      <c r="CB21" s="312"/>
      <c r="CC21" s="312"/>
      <c r="CD21" s="312"/>
      <c r="CE21" s="312"/>
      <c r="CF21" s="312"/>
      <c r="CG21" s="312"/>
      <c r="CH21" s="312"/>
      <c r="CI21" s="312"/>
      <c r="CJ21" s="312"/>
      <c r="CK21" s="312"/>
      <c r="CL21" s="312"/>
      <c r="CM21" s="312"/>
      <c r="CN21" s="312"/>
      <c r="CO21" s="312"/>
      <c r="CP21" s="312"/>
      <c r="CQ21" s="312"/>
      <c r="CR21" s="312"/>
      <c r="CS21" s="312"/>
      <c r="CT21" s="312"/>
      <c r="CU21" s="312"/>
      <c r="CV21" s="312"/>
      <c r="CW21" s="312"/>
      <c r="CX21" s="312"/>
      <c r="CY21" s="312"/>
      <c r="CZ21" s="312"/>
      <c r="DA21" s="312"/>
      <c r="DB21" s="312"/>
      <c r="DC21" s="312"/>
      <c r="DD21" s="312"/>
      <c r="DE21" s="312"/>
      <c r="DF21" s="312"/>
      <c r="DG21" s="312"/>
      <c r="DH21" s="312"/>
      <c r="DI21" s="312"/>
      <c r="DJ21" s="312"/>
      <c r="DK21" s="312"/>
      <c r="DL21" s="312"/>
      <c r="DM21" s="312"/>
      <c r="DN21" s="312"/>
      <c r="DO21" s="312"/>
      <c r="DP21" s="312"/>
      <c r="DQ21" s="312"/>
      <c r="DR21" s="312"/>
      <c r="DS21" s="312"/>
      <c r="DT21" s="312"/>
      <c r="DU21" s="312"/>
      <c r="DV21" s="312"/>
      <c r="DW21" s="312"/>
      <c r="DX21" s="312"/>
      <c r="DY21" s="312"/>
      <c r="DZ21" s="312"/>
      <c r="EA21" s="312"/>
      <c r="EB21" s="312"/>
      <c r="EC21" s="312"/>
      <c r="ED21" s="312"/>
      <c r="EE21" s="312"/>
      <c r="EF21" s="312"/>
      <c r="EG21" s="312"/>
      <c r="EH21" s="312"/>
      <c r="EI21" s="312"/>
      <c r="EJ21" s="312"/>
      <c r="EK21" s="312"/>
      <c r="EL21" s="312"/>
      <c r="EM21" s="312"/>
      <c r="EN21" s="312"/>
      <c r="EO21" s="312"/>
      <c r="EP21" s="312"/>
      <c r="EQ21" s="312"/>
      <c r="ER21" s="312"/>
      <c r="ES21" s="312"/>
      <c r="ET21" s="312"/>
      <c r="EU21" s="312"/>
      <c r="EV21" s="312"/>
      <c r="EW21" s="312"/>
      <c r="EX21" s="312"/>
      <c r="EY21" s="312"/>
      <c r="EZ21" s="312"/>
      <c r="FA21" s="312"/>
      <c r="FB21" s="312"/>
      <c r="FC21" s="312"/>
      <c r="FD21" s="312"/>
      <c r="FE21" s="312"/>
      <c r="FF21" s="312"/>
      <c r="FG21" s="312"/>
      <c r="FH21" s="312"/>
      <c r="FI21" s="312"/>
      <c r="FJ21" s="312"/>
      <c r="FK21" s="312"/>
      <c r="FL21" s="312"/>
      <c r="FM21" s="312"/>
      <c r="FN21" s="312"/>
      <c r="FO21" s="312"/>
      <c r="FP21" s="312"/>
      <c r="FQ21" s="312"/>
      <c r="FR21" s="312"/>
      <c r="FS21" s="312"/>
      <c r="FT21" s="312"/>
      <c r="FU21" s="312"/>
      <c r="FV21" s="312"/>
      <c r="FW21" s="312"/>
      <c r="FX21" s="312"/>
      <c r="FY21" s="312"/>
      <c r="FZ21" s="312"/>
      <c r="GA21" s="312"/>
      <c r="GB21" s="312"/>
      <c r="GC21" s="312"/>
      <c r="GD21" s="312"/>
      <c r="GE21" s="312"/>
      <c r="GF21" s="312"/>
      <c r="GG21" s="312"/>
      <c r="GH21" s="312"/>
      <c r="GI21" s="312"/>
      <c r="GJ21" s="312"/>
      <c r="GK21" s="312"/>
      <c r="GL21" s="312"/>
      <c r="GM21" s="312"/>
      <c r="GN21" s="312"/>
      <c r="GO21" s="312"/>
      <c r="GP21" s="312"/>
      <c r="GQ21" s="312"/>
      <c r="GR21" s="312"/>
      <c r="GS21" s="312"/>
      <c r="GT21" s="312"/>
      <c r="GU21" s="312"/>
      <c r="GV21" s="312"/>
      <c r="GW21" s="312"/>
      <c r="GX21" s="312"/>
      <c r="GY21" s="312"/>
      <c r="GZ21" s="312"/>
      <c r="HA21" s="312"/>
      <c r="HB21" s="312"/>
      <c r="HC21" s="312"/>
      <c r="HD21" s="312"/>
      <c r="HE21" s="312"/>
      <c r="HF21" s="312"/>
      <c r="HG21" s="312"/>
      <c r="HH21" s="312"/>
      <c r="HI21" s="312"/>
      <c r="HJ21" s="312"/>
      <c r="HK21" s="312"/>
      <c r="HL21" s="312"/>
      <c r="HM21" s="312"/>
      <c r="HN21" s="312"/>
      <c r="HO21" s="312"/>
      <c r="HP21" s="312"/>
      <c r="HQ21" s="312"/>
      <c r="HR21" s="312"/>
      <c r="HS21" s="312"/>
      <c r="HT21" s="312"/>
      <c r="HU21" s="312"/>
      <c r="HV21" s="312"/>
      <c r="HW21" s="312"/>
      <c r="HX21" s="312"/>
      <c r="HY21" s="312"/>
      <c r="HZ21" s="312"/>
      <c r="IA21" s="312"/>
      <c r="IB21" s="312"/>
      <c r="IC21" s="312"/>
      <c r="ID21" s="312"/>
      <c r="IE21" s="312"/>
      <c r="IF21" s="312"/>
      <c r="IG21" s="312"/>
      <c r="IH21" s="312"/>
      <c r="II21" s="312"/>
      <c r="IJ21" s="312"/>
      <c r="IK21" s="312"/>
      <c r="IL21" s="312"/>
      <c r="IM21" s="312"/>
      <c r="IN21" s="312"/>
      <c r="IO21" s="312"/>
      <c r="IP21" s="312"/>
      <c r="IQ21" s="312"/>
      <c r="IR21" s="312"/>
      <c r="IS21" s="312"/>
      <c r="IT21" s="312"/>
      <c r="IU21" s="312"/>
      <c r="IV21" s="312"/>
      <c r="IW21" s="312"/>
      <c r="IX21" s="312"/>
      <c r="IY21" s="312"/>
      <c r="IZ21" s="312"/>
      <c r="JA21" s="312"/>
      <c r="JB21" s="312"/>
    </row>
    <row r="22" spans="1:262" ht="18" customHeight="1">
      <c r="A22" s="332"/>
      <c r="B22" s="323" t="s">
        <v>397</v>
      </c>
      <c r="C22" s="2248">
        <v>4612</v>
      </c>
      <c r="D22" s="2248">
        <v>2148</v>
      </c>
      <c r="E22" s="2248">
        <v>2464</v>
      </c>
      <c r="F22" s="2248">
        <v>5001</v>
      </c>
      <c r="G22" s="2248">
        <v>2247</v>
      </c>
      <c r="H22" s="2248">
        <v>2754</v>
      </c>
      <c r="I22" s="2245">
        <v>4134</v>
      </c>
      <c r="J22" s="2245">
        <v>1788</v>
      </c>
      <c r="K22" s="2245">
        <v>2346</v>
      </c>
      <c r="L22" s="321">
        <v>278</v>
      </c>
      <c r="M22" s="321">
        <v>191</v>
      </c>
      <c r="N22" s="322">
        <v>87</v>
      </c>
      <c r="O22" s="112">
        <v>274</v>
      </c>
      <c r="P22" s="111">
        <v>189</v>
      </c>
      <c r="Q22" s="111">
        <v>85</v>
      </c>
      <c r="R22" s="333">
        <v>845</v>
      </c>
      <c r="S22" s="321">
        <v>318</v>
      </c>
      <c r="T22" s="321">
        <v>527</v>
      </c>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c r="BR22" s="312"/>
      <c r="BS22" s="312"/>
      <c r="BT22" s="312"/>
      <c r="BU22" s="312"/>
      <c r="BV22" s="312"/>
      <c r="BW22" s="312"/>
      <c r="BX22" s="312"/>
      <c r="BY22" s="312"/>
      <c r="BZ22" s="312"/>
      <c r="CA22" s="312"/>
      <c r="CB22" s="312"/>
      <c r="CC22" s="312"/>
      <c r="CD22" s="312"/>
      <c r="CE22" s="312"/>
      <c r="CF22" s="312"/>
      <c r="CG22" s="312"/>
      <c r="CH22" s="312"/>
      <c r="CI22" s="312"/>
      <c r="CJ22" s="312"/>
      <c r="CK22" s="312"/>
      <c r="CL22" s="312"/>
      <c r="CM22" s="312"/>
      <c r="CN22" s="312"/>
      <c r="CO22" s="312"/>
      <c r="CP22" s="312"/>
      <c r="CQ22" s="312"/>
      <c r="CR22" s="312"/>
      <c r="CS22" s="312"/>
      <c r="CT22" s="312"/>
      <c r="CU22" s="312"/>
      <c r="CV22" s="312"/>
      <c r="CW22" s="312"/>
      <c r="CX22" s="312"/>
      <c r="CY22" s="312"/>
      <c r="CZ22" s="312"/>
      <c r="DA22" s="312"/>
      <c r="DB22" s="312"/>
      <c r="DC22" s="312"/>
      <c r="DD22" s="312"/>
      <c r="DE22" s="312"/>
      <c r="DF22" s="312"/>
      <c r="DG22" s="312"/>
      <c r="DH22" s="312"/>
      <c r="DI22" s="312"/>
      <c r="DJ22" s="312"/>
      <c r="DK22" s="312"/>
      <c r="DL22" s="312"/>
      <c r="DM22" s="312"/>
      <c r="DN22" s="312"/>
      <c r="DO22" s="312"/>
      <c r="DP22" s="312"/>
      <c r="DQ22" s="312"/>
      <c r="DR22" s="312"/>
      <c r="DS22" s="312"/>
      <c r="DT22" s="312"/>
      <c r="DU22" s="312"/>
      <c r="DV22" s="312"/>
      <c r="DW22" s="312"/>
      <c r="DX22" s="312"/>
      <c r="DY22" s="312"/>
      <c r="DZ22" s="312"/>
      <c r="EA22" s="312"/>
      <c r="EB22" s="312"/>
      <c r="EC22" s="312"/>
      <c r="ED22" s="312"/>
      <c r="EE22" s="312"/>
      <c r="EF22" s="312"/>
      <c r="EG22" s="312"/>
      <c r="EH22" s="312"/>
      <c r="EI22" s="312"/>
      <c r="EJ22" s="312"/>
      <c r="EK22" s="312"/>
      <c r="EL22" s="312"/>
      <c r="EM22" s="312"/>
      <c r="EN22" s="312"/>
      <c r="EO22" s="312"/>
      <c r="EP22" s="312"/>
      <c r="EQ22" s="312"/>
      <c r="ER22" s="312"/>
      <c r="ES22" s="312"/>
      <c r="ET22" s="312"/>
      <c r="EU22" s="312"/>
      <c r="EV22" s="312"/>
      <c r="EW22" s="312"/>
      <c r="EX22" s="312"/>
      <c r="EY22" s="312"/>
      <c r="EZ22" s="312"/>
      <c r="FA22" s="312"/>
      <c r="FB22" s="312"/>
      <c r="FC22" s="312"/>
      <c r="FD22" s="312"/>
      <c r="FE22" s="312"/>
      <c r="FF22" s="312"/>
      <c r="FG22" s="312"/>
      <c r="FH22" s="312"/>
      <c r="FI22" s="312"/>
      <c r="FJ22" s="312"/>
      <c r="FK22" s="312"/>
      <c r="FL22" s="312"/>
      <c r="FM22" s="312"/>
      <c r="FN22" s="312"/>
      <c r="FO22" s="312"/>
      <c r="FP22" s="312"/>
      <c r="FQ22" s="312"/>
      <c r="FR22" s="312"/>
      <c r="FS22" s="312"/>
      <c r="FT22" s="312"/>
      <c r="FU22" s="312"/>
      <c r="FV22" s="312"/>
      <c r="FW22" s="312"/>
      <c r="FX22" s="312"/>
      <c r="FY22" s="312"/>
      <c r="FZ22" s="312"/>
      <c r="GA22" s="312"/>
      <c r="GB22" s="312"/>
      <c r="GC22" s="312"/>
      <c r="GD22" s="312"/>
      <c r="GE22" s="312"/>
      <c r="GF22" s="312"/>
      <c r="GG22" s="312"/>
      <c r="GH22" s="312"/>
      <c r="GI22" s="312"/>
      <c r="GJ22" s="312"/>
      <c r="GK22" s="312"/>
      <c r="GL22" s="312"/>
      <c r="GM22" s="312"/>
      <c r="GN22" s="312"/>
      <c r="GO22" s="312"/>
      <c r="GP22" s="312"/>
      <c r="GQ22" s="312"/>
      <c r="GR22" s="312"/>
      <c r="GS22" s="312"/>
      <c r="GT22" s="312"/>
      <c r="GU22" s="312"/>
      <c r="GV22" s="312"/>
      <c r="GW22" s="312"/>
      <c r="GX22" s="312"/>
      <c r="GY22" s="312"/>
      <c r="GZ22" s="312"/>
      <c r="HA22" s="312"/>
      <c r="HB22" s="312"/>
      <c r="HC22" s="312"/>
      <c r="HD22" s="312"/>
      <c r="HE22" s="312"/>
      <c r="HF22" s="312"/>
      <c r="HG22" s="312"/>
      <c r="HH22" s="312"/>
      <c r="HI22" s="312"/>
      <c r="HJ22" s="312"/>
      <c r="HK22" s="312"/>
      <c r="HL22" s="312"/>
      <c r="HM22" s="312"/>
      <c r="HN22" s="312"/>
      <c r="HO22" s="312"/>
      <c r="HP22" s="312"/>
      <c r="HQ22" s="312"/>
      <c r="HR22" s="312"/>
      <c r="HS22" s="312"/>
      <c r="HT22" s="312"/>
      <c r="HU22" s="312"/>
      <c r="HV22" s="312"/>
      <c r="HW22" s="312"/>
      <c r="HX22" s="312"/>
      <c r="HY22" s="312"/>
      <c r="HZ22" s="312"/>
      <c r="IA22" s="312"/>
      <c r="IB22" s="312"/>
      <c r="IC22" s="312"/>
      <c r="ID22" s="312"/>
      <c r="IE22" s="312"/>
      <c r="IF22" s="312"/>
      <c r="IG22" s="312"/>
      <c r="IH22" s="312"/>
      <c r="II22" s="312"/>
      <c r="IJ22" s="312"/>
      <c r="IK22" s="312"/>
      <c r="IL22" s="312"/>
      <c r="IM22" s="312"/>
      <c r="IN22" s="312"/>
      <c r="IO22" s="312"/>
      <c r="IP22" s="312"/>
      <c r="IQ22" s="312"/>
      <c r="IR22" s="312"/>
      <c r="IS22" s="312"/>
      <c r="IT22" s="312"/>
      <c r="IU22" s="312"/>
      <c r="IV22" s="312"/>
      <c r="IW22" s="312"/>
      <c r="IX22" s="312"/>
      <c r="IY22" s="312"/>
      <c r="IZ22" s="312"/>
      <c r="JA22" s="312"/>
      <c r="JB22" s="312"/>
    </row>
    <row r="23" spans="1:262" ht="18" customHeight="1">
      <c r="A23" s="332"/>
      <c r="B23" s="323" t="s">
        <v>398</v>
      </c>
      <c r="C23" s="2248"/>
      <c r="D23" s="2248"/>
      <c r="E23" s="2248"/>
      <c r="F23" s="2248"/>
      <c r="G23" s="2248"/>
      <c r="H23" s="2248"/>
      <c r="I23" s="2245"/>
      <c r="J23" s="2245"/>
      <c r="K23" s="2245"/>
      <c r="L23" s="321">
        <v>577</v>
      </c>
      <c r="M23" s="321">
        <v>202</v>
      </c>
      <c r="N23" s="322">
        <v>375</v>
      </c>
      <c r="O23" s="111">
        <v>544</v>
      </c>
      <c r="P23" s="111">
        <v>202</v>
      </c>
      <c r="Q23" s="111">
        <v>342</v>
      </c>
      <c r="R23" s="321">
        <v>470</v>
      </c>
      <c r="S23" s="321">
        <v>196</v>
      </c>
      <c r="T23" s="321">
        <v>274</v>
      </c>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2"/>
      <c r="BR23" s="312"/>
      <c r="BS23" s="312"/>
      <c r="BT23" s="312"/>
      <c r="BU23" s="312"/>
      <c r="BV23" s="312"/>
      <c r="BW23" s="312"/>
      <c r="BX23" s="312"/>
      <c r="BY23" s="312"/>
      <c r="BZ23" s="312"/>
      <c r="CA23" s="312"/>
      <c r="CB23" s="312"/>
      <c r="CC23" s="312"/>
      <c r="CD23" s="312"/>
      <c r="CE23" s="312"/>
      <c r="CF23" s="312"/>
      <c r="CG23" s="312"/>
      <c r="CH23" s="312"/>
      <c r="CI23" s="312"/>
      <c r="CJ23" s="312"/>
      <c r="CK23" s="312"/>
      <c r="CL23" s="312"/>
      <c r="CM23" s="312"/>
      <c r="CN23" s="312"/>
      <c r="CO23" s="312"/>
      <c r="CP23" s="312"/>
      <c r="CQ23" s="312"/>
      <c r="CR23" s="312"/>
      <c r="CS23" s="312"/>
      <c r="CT23" s="312"/>
      <c r="CU23" s="312"/>
      <c r="CV23" s="312"/>
      <c r="CW23" s="312"/>
      <c r="CX23" s="312"/>
      <c r="CY23" s="312"/>
      <c r="CZ23" s="312"/>
      <c r="DA23" s="312"/>
      <c r="DB23" s="312"/>
      <c r="DC23" s="312"/>
      <c r="DD23" s="312"/>
      <c r="DE23" s="312"/>
      <c r="DF23" s="312"/>
      <c r="DG23" s="312"/>
      <c r="DH23" s="312"/>
      <c r="DI23" s="312"/>
      <c r="DJ23" s="312"/>
      <c r="DK23" s="312"/>
      <c r="DL23" s="312"/>
      <c r="DM23" s="312"/>
      <c r="DN23" s="312"/>
      <c r="DO23" s="312"/>
      <c r="DP23" s="312"/>
      <c r="DQ23" s="312"/>
      <c r="DR23" s="312"/>
      <c r="DS23" s="312"/>
      <c r="DT23" s="312"/>
      <c r="DU23" s="312"/>
      <c r="DV23" s="312"/>
      <c r="DW23" s="312"/>
      <c r="DX23" s="312"/>
      <c r="DY23" s="312"/>
      <c r="DZ23" s="312"/>
      <c r="EA23" s="312"/>
      <c r="EB23" s="312"/>
      <c r="EC23" s="312"/>
      <c r="ED23" s="312"/>
      <c r="EE23" s="312"/>
      <c r="EF23" s="312"/>
      <c r="EG23" s="312"/>
      <c r="EH23" s="312"/>
      <c r="EI23" s="312"/>
      <c r="EJ23" s="312"/>
      <c r="EK23" s="312"/>
      <c r="EL23" s="312"/>
      <c r="EM23" s="312"/>
      <c r="EN23" s="312"/>
      <c r="EO23" s="312"/>
      <c r="EP23" s="312"/>
      <c r="EQ23" s="312"/>
      <c r="ER23" s="312"/>
      <c r="ES23" s="312"/>
      <c r="ET23" s="312"/>
      <c r="EU23" s="312"/>
      <c r="EV23" s="312"/>
      <c r="EW23" s="312"/>
      <c r="EX23" s="312"/>
      <c r="EY23" s="312"/>
      <c r="EZ23" s="312"/>
      <c r="FA23" s="312"/>
      <c r="FB23" s="312"/>
      <c r="FC23" s="312"/>
      <c r="FD23" s="312"/>
      <c r="FE23" s="312"/>
      <c r="FF23" s="312"/>
      <c r="FG23" s="312"/>
      <c r="FH23" s="312"/>
      <c r="FI23" s="312"/>
      <c r="FJ23" s="312"/>
      <c r="FK23" s="312"/>
      <c r="FL23" s="312"/>
      <c r="FM23" s="312"/>
      <c r="FN23" s="312"/>
      <c r="FO23" s="312"/>
      <c r="FP23" s="312"/>
      <c r="FQ23" s="312"/>
      <c r="FR23" s="312"/>
      <c r="FS23" s="312"/>
      <c r="FT23" s="312"/>
      <c r="FU23" s="312"/>
      <c r="FV23" s="312"/>
      <c r="FW23" s="312"/>
      <c r="FX23" s="312"/>
      <c r="FY23" s="312"/>
      <c r="FZ23" s="312"/>
      <c r="GA23" s="312"/>
      <c r="GB23" s="312"/>
      <c r="GC23" s="312"/>
      <c r="GD23" s="312"/>
      <c r="GE23" s="312"/>
      <c r="GF23" s="312"/>
      <c r="GG23" s="312"/>
      <c r="GH23" s="312"/>
      <c r="GI23" s="312"/>
      <c r="GJ23" s="312"/>
      <c r="GK23" s="312"/>
      <c r="GL23" s="312"/>
      <c r="GM23" s="312"/>
      <c r="GN23" s="312"/>
      <c r="GO23" s="312"/>
      <c r="GP23" s="312"/>
      <c r="GQ23" s="312"/>
      <c r="GR23" s="312"/>
      <c r="GS23" s="312"/>
      <c r="GT23" s="312"/>
      <c r="GU23" s="312"/>
      <c r="GV23" s="312"/>
      <c r="GW23" s="312"/>
      <c r="GX23" s="312"/>
      <c r="GY23" s="312"/>
      <c r="GZ23" s="312"/>
      <c r="HA23" s="312"/>
      <c r="HB23" s="312"/>
      <c r="HC23" s="312"/>
      <c r="HD23" s="312"/>
      <c r="HE23" s="312"/>
      <c r="HF23" s="312"/>
      <c r="HG23" s="312"/>
      <c r="HH23" s="312"/>
      <c r="HI23" s="312"/>
      <c r="HJ23" s="312"/>
      <c r="HK23" s="312"/>
      <c r="HL23" s="312"/>
      <c r="HM23" s="312"/>
      <c r="HN23" s="312"/>
      <c r="HO23" s="312"/>
      <c r="HP23" s="312"/>
      <c r="HQ23" s="312"/>
      <c r="HR23" s="312"/>
      <c r="HS23" s="312"/>
      <c r="HT23" s="312"/>
      <c r="HU23" s="312"/>
      <c r="HV23" s="312"/>
      <c r="HW23" s="312"/>
      <c r="HX23" s="312"/>
      <c r="HY23" s="312"/>
      <c r="HZ23" s="312"/>
      <c r="IA23" s="312"/>
      <c r="IB23" s="312"/>
      <c r="IC23" s="312"/>
      <c r="ID23" s="312"/>
      <c r="IE23" s="312"/>
      <c r="IF23" s="312"/>
      <c r="IG23" s="312"/>
      <c r="IH23" s="312"/>
      <c r="II23" s="312"/>
      <c r="IJ23" s="312"/>
      <c r="IK23" s="312"/>
      <c r="IL23" s="312"/>
      <c r="IM23" s="312"/>
      <c r="IN23" s="312"/>
      <c r="IO23" s="312"/>
      <c r="IP23" s="312"/>
      <c r="IQ23" s="312"/>
      <c r="IR23" s="312"/>
      <c r="IS23" s="312"/>
      <c r="IT23" s="312"/>
      <c r="IU23" s="312"/>
      <c r="IV23" s="312"/>
      <c r="IW23" s="312"/>
      <c r="IX23" s="312"/>
      <c r="IY23" s="312"/>
      <c r="IZ23" s="312"/>
      <c r="JA23" s="312"/>
      <c r="JB23" s="312"/>
    </row>
    <row r="24" spans="1:262" ht="18" customHeight="1">
      <c r="A24" s="332"/>
      <c r="B24" s="323" t="s">
        <v>399</v>
      </c>
      <c r="C24" s="2248"/>
      <c r="D24" s="2248"/>
      <c r="E24" s="2248"/>
      <c r="F24" s="2248"/>
      <c r="G24" s="2248"/>
      <c r="H24" s="2248"/>
      <c r="I24" s="2245"/>
      <c r="J24" s="2245"/>
      <c r="K24" s="2245"/>
      <c r="L24" s="321">
        <v>503</v>
      </c>
      <c r="M24" s="321">
        <v>241</v>
      </c>
      <c r="N24" s="322">
        <v>262</v>
      </c>
      <c r="O24" s="111">
        <v>499</v>
      </c>
      <c r="P24" s="111">
        <v>230</v>
      </c>
      <c r="Q24" s="111">
        <v>269</v>
      </c>
      <c r="R24" s="321">
        <v>464</v>
      </c>
      <c r="S24" s="321">
        <v>206</v>
      </c>
      <c r="T24" s="321">
        <v>258</v>
      </c>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2"/>
      <c r="BK24" s="312"/>
      <c r="BL24" s="312"/>
      <c r="BM24" s="312"/>
      <c r="BN24" s="312"/>
      <c r="BO24" s="312"/>
      <c r="BP24" s="312"/>
      <c r="BQ24" s="312"/>
      <c r="BR24" s="312"/>
      <c r="BS24" s="312"/>
      <c r="BT24" s="312"/>
      <c r="BU24" s="312"/>
      <c r="BV24" s="312"/>
      <c r="BW24" s="312"/>
      <c r="BX24" s="312"/>
      <c r="BY24" s="312"/>
      <c r="BZ24" s="312"/>
      <c r="CA24" s="312"/>
      <c r="CB24" s="312"/>
      <c r="CC24" s="312"/>
      <c r="CD24" s="312"/>
      <c r="CE24" s="312"/>
      <c r="CF24" s="312"/>
      <c r="CG24" s="312"/>
      <c r="CH24" s="312"/>
      <c r="CI24" s="312"/>
      <c r="CJ24" s="312"/>
      <c r="CK24" s="312"/>
      <c r="CL24" s="312"/>
      <c r="CM24" s="312"/>
      <c r="CN24" s="312"/>
      <c r="CO24" s="312"/>
      <c r="CP24" s="312"/>
      <c r="CQ24" s="312"/>
      <c r="CR24" s="312"/>
      <c r="CS24" s="312"/>
      <c r="CT24" s="312"/>
      <c r="CU24" s="312"/>
      <c r="CV24" s="312"/>
      <c r="CW24" s="312"/>
      <c r="CX24" s="312"/>
      <c r="CY24" s="312"/>
      <c r="CZ24" s="312"/>
      <c r="DA24" s="312"/>
      <c r="DB24" s="312"/>
      <c r="DC24" s="312"/>
      <c r="DD24" s="312"/>
      <c r="DE24" s="312"/>
      <c r="DF24" s="312"/>
      <c r="DG24" s="312"/>
      <c r="DH24" s="312"/>
      <c r="DI24" s="312"/>
      <c r="DJ24" s="312"/>
      <c r="DK24" s="312"/>
      <c r="DL24" s="312"/>
      <c r="DM24" s="312"/>
      <c r="DN24" s="312"/>
      <c r="DO24" s="312"/>
      <c r="DP24" s="312"/>
      <c r="DQ24" s="312"/>
      <c r="DR24" s="312"/>
      <c r="DS24" s="312"/>
      <c r="DT24" s="312"/>
      <c r="DU24" s="312"/>
      <c r="DV24" s="312"/>
      <c r="DW24" s="312"/>
      <c r="DX24" s="312"/>
      <c r="DY24" s="312"/>
      <c r="DZ24" s="312"/>
      <c r="EA24" s="312"/>
      <c r="EB24" s="312"/>
      <c r="EC24" s="312"/>
      <c r="ED24" s="312"/>
      <c r="EE24" s="312"/>
      <c r="EF24" s="312"/>
      <c r="EG24" s="312"/>
      <c r="EH24" s="312"/>
      <c r="EI24" s="312"/>
      <c r="EJ24" s="312"/>
      <c r="EK24" s="312"/>
      <c r="EL24" s="312"/>
      <c r="EM24" s="312"/>
      <c r="EN24" s="312"/>
      <c r="EO24" s="312"/>
      <c r="EP24" s="312"/>
      <c r="EQ24" s="312"/>
      <c r="ER24" s="312"/>
      <c r="ES24" s="312"/>
      <c r="ET24" s="312"/>
      <c r="EU24" s="312"/>
      <c r="EV24" s="312"/>
      <c r="EW24" s="312"/>
      <c r="EX24" s="312"/>
      <c r="EY24" s="312"/>
      <c r="EZ24" s="312"/>
      <c r="FA24" s="312"/>
      <c r="FB24" s="312"/>
      <c r="FC24" s="312"/>
      <c r="FD24" s="312"/>
      <c r="FE24" s="312"/>
      <c r="FF24" s="312"/>
      <c r="FG24" s="312"/>
      <c r="FH24" s="312"/>
      <c r="FI24" s="312"/>
      <c r="FJ24" s="312"/>
      <c r="FK24" s="312"/>
      <c r="FL24" s="312"/>
      <c r="FM24" s="312"/>
      <c r="FN24" s="312"/>
      <c r="FO24" s="312"/>
      <c r="FP24" s="312"/>
      <c r="FQ24" s="312"/>
      <c r="FR24" s="312"/>
      <c r="FS24" s="312"/>
      <c r="FT24" s="312"/>
      <c r="FU24" s="312"/>
      <c r="FV24" s="312"/>
      <c r="FW24" s="312"/>
      <c r="FX24" s="312"/>
      <c r="FY24" s="312"/>
      <c r="FZ24" s="312"/>
      <c r="GA24" s="312"/>
      <c r="GB24" s="312"/>
      <c r="GC24" s="312"/>
      <c r="GD24" s="312"/>
      <c r="GE24" s="312"/>
      <c r="GF24" s="312"/>
      <c r="GG24" s="312"/>
      <c r="GH24" s="312"/>
      <c r="GI24" s="312"/>
      <c r="GJ24" s="312"/>
      <c r="GK24" s="312"/>
      <c r="GL24" s="312"/>
      <c r="GM24" s="312"/>
      <c r="GN24" s="312"/>
      <c r="GO24" s="312"/>
      <c r="GP24" s="312"/>
      <c r="GQ24" s="312"/>
      <c r="GR24" s="312"/>
      <c r="GS24" s="312"/>
      <c r="GT24" s="312"/>
      <c r="GU24" s="312"/>
      <c r="GV24" s="312"/>
      <c r="GW24" s="312"/>
      <c r="GX24" s="312"/>
      <c r="GY24" s="312"/>
      <c r="GZ24" s="312"/>
      <c r="HA24" s="312"/>
      <c r="HB24" s="312"/>
      <c r="HC24" s="312"/>
      <c r="HD24" s="312"/>
      <c r="HE24" s="312"/>
      <c r="HF24" s="312"/>
      <c r="HG24" s="312"/>
      <c r="HH24" s="312"/>
      <c r="HI24" s="312"/>
      <c r="HJ24" s="312"/>
      <c r="HK24" s="312"/>
      <c r="HL24" s="312"/>
      <c r="HM24" s="312"/>
      <c r="HN24" s="312"/>
      <c r="HO24" s="312"/>
      <c r="HP24" s="312"/>
      <c r="HQ24" s="312"/>
      <c r="HR24" s="312"/>
      <c r="HS24" s="312"/>
      <c r="HT24" s="312"/>
      <c r="HU24" s="312"/>
      <c r="HV24" s="312"/>
      <c r="HW24" s="312"/>
      <c r="HX24" s="312"/>
      <c r="HY24" s="312"/>
      <c r="HZ24" s="312"/>
      <c r="IA24" s="312"/>
      <c r="IB24" s="312"/>
      <c r="IC24" s="312"/>
      <c r="ID24" s="312"/>
      <c r="IE24" s="312"/>
      <c r="IF24" s="312"/>
      <c r="IG24" s="312"/>
      <c r="IH24" s="312"/>
      <c r="II24" s="312"/>
      <c r="IJ24" s="312"/>
      <c r="IK24" s="312"/>
      <c r="IL24" s="312"/>
      <c r="IM24" s="312"/>
      <c r="IN24" s="312"/>
      <c r="IO24" s="312"/>
      <c r="IP24" s="312"/>
      <c r="IQ24" s="312"/>
      <c r="IR24" s="312"/>
      <c r="IS24" s="312"/>
      <c r="IT24" s="312"/>
      <c r="IU24" s="312"/>
      <c r="IV24" s="312"/>
      <c r="IW24" s="312"/>
      <c r="IX24" s="312"/>
      <c r="IY24" s="312"/>
      <c r="IZ24" s="312"/>
      <c r="JA24" s="312"/>
      <c r="JB24" s="312"/>
    </row>
    <row r="25" spans="1:262" ht="18" customHeight="1">
      <c r="A25" s="332"/>
      <c r="B25" s="323" t="s">
        <v>400</v>
      </c>
      <c r="C25" s="2248"/>
      <c r="D25" s="2248"/>
      <c r="E25" s="2248"/>
      <c r="F25" s="2248"/>
      <c r="G25" s="2248"/>
      <c r="H25" s="2248"/>
      <c r="I25" s="2245"/>
      <c r="J25" s="2245"/>
      <c r="K25" s="2245"/>
      <c r="L25" s="321">
        <v>1587</v>
      </c>
      <c r="M25" s="321">
        <v>327</v>
      </c>
      <c r="N25" s="322">
        <v>1260</v>
      </c>
      <c r="O25" s="111">
        <v>1750</v>
      </c>
      <c r="P25" s="111">
        <v>381</v>
      </c>
      <c r="Q25" s="111">
        <v>1369</v>
      </c>
      <c r="R25" s="321">
        <v>1711</v>
      </c>
      <c r="S25" s="321">
        <v>392</v>
      </c>
      <c r="T25" s="321">
        <v>1319</v>
      </c>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c r="BR25" s="312"/>
      <c r="BS25" s="312"/>
      <c r="BT25" s="312"/>
      <c r="BU25" s="312"/>
      <c r="BV25" s="312"/>
      <c r="BW25" s="312"/>
      <c r="BX25" s="312"/>
      <c r="BY25" s="312"/>
      <c r="BZ25" s="312"/>
      <c r="CA25" s="312"/>
      <c r="CB25" s="312"/>
      <c r="CC25" s="312"/>
      <c r="CD25" s="312"/>
      <c r="CE25" s="312"/>
      <c r="CF25" s="312"/>
      <c r="CG25" s="312"/>
      <c r="CH25" s="312"/>
      <c r="CI25" s="312"/>
      <c r="CJ25" s="312"/>
      <c r="CK25" s="312"/>
      <c r="CL25" s="312"/>
      <c r="CM25" s="312"/>
      <c r="CN25" s="312"/>
      <c r="CO25" s="312"/>
      <c r="CP25" s="312"/>
      <c r="CQ25" s="312"/>
      <c r="CR25" s="312"/>
      <c r="CS25" s="312"/>
      <c r="CT25" s="312"/>
      <c r="CU25" s="312"/>
      <c r="CV25" s="312"/>
      <c r="CW25" s="312"/>
      <c r="CX25" s="312"/>
      <c r="CY25" s="312"/>
      <c r="CZ25" s="312"/>
      <c r="DA25" s="312"/>
      <c r="DB25" s="312"/>
      <c r="DC25" s="312"/>
      <c r="DD25" s="312"/>
      <c r="DE25" s="312"/>
      <c r="DF25" s="312"/>
      <c r="DG25" s="312"/>
      <c r="DH25" s="312"/>
      <c r="DI25" s="312"/>
      <c r="DJ25" s="312"/>
      <c r="DK25" s="312"/>
      <c r="DL25" s="312"/>
      <c r="DM25" s="312"/>
      <c r="DN25" s="312"/>
      <c r="DO25" s="312"/>
      <c r="DP25" s="312"/>
      <c r="DQ25" s="312"/>
      <c r="DR25" s="312"/>
      <c r="DS25" s="312"/>
      <c r="DT25" s="312"/>
      <c r="DU25" s="312"/>
      <c r="DV25" s="312"/>
      <c r="DW25" s="312"/>
      <c r="DX25" s="312"/>
      <c r="DY25" s="312"/>
      <c r="DZ25" s="312"/>
      <c r="EA25" s="312"/>
      <c r="EB25" s="312"/>
      <c r="EC25" s="312"/>
      <c r="ED25" s="312"/>
      <c r="EE25" s="312"/>
      <c r="EF25" s="312"/>
      <c r="EG25" s="312"/>
      <c r="EH25" s="312"/>
      <c r="EI25" s="312"/>
      <c r="EJ25" s="312"/>
      <c r="EK25" s="312"/>
      <c r="EL25" s="312"/>
      <c r="EM25" s="312"/>
      <c r="EN25" s="312"/>
      <c r="EO25" s="312"/>
      <c r="EP25" s="312"/>
      <c r="EQ25" s="312"/>
      <c r="ER25" s="312"/>
      <c r="ES25" s="312"/>
      <c r="ET25" s="312"/>
      <c r="EU25" s="312"/>
      <c r="EV25" s="312"/>
      <c r="EW25" s="312"/>
      <c r="EX25" s="312"/>
      <c r="EY25" s="312"/>
      <c r="EZ25" s="312"/>
      <c r="FA25" s="312"/>
      <c r="FB25" s="312"/>
      <c r="FC25" s="312"/>
      <c r="FD25" s="312"/>
      <c r="FE25" s="312"/>
      <c r="FF25" s="312"/>
      <c r="FG25" s="312"/>
      <c r="FH25" s="312"/>
      <c r="FI25" s="312"/>
      <c r="FJ25" s="312"/>
      <c r="FK25" s="312"/>
      <c r="FL25" s="312"/>
      <c r="FM25" s="312"/>
      <c r="FN25" s="312"/>
      <c r="FO25" s="312"/>
      <c r="FP25" s="312"/>
      <c r="FQ25" s="312"/>
      <c r="FR25" s="312"/>
      <c r="FS25" s="312"/>
      <c r="FT25" s="312"/>
      <c r="FU25" s="312"/>
      <c r="FV25" s="312"/>
      <c r="FW25" s="312"/>
      <c r="FX25" s="312"/>
      <c r="FY25" s="312"/>
      <c r="FZ25" s="312"/>
      <c r="GA25" s="312"/>
      <c r="GB25" s="312"/>
      <c r="GC25" s="312"/>
      <c r="GD25" s="312"/>
      <c r="GE25" s="312"/>
      <c r="GF25" s="312"/>
      <c r="GG25" s="312"/>
      <c r="GH25" s="312"/>
      <c r="GI25" s="312"/>
      <c r="GJ25" s="312"/>
      <c r="GK25" s="312"/>
      <c r="GL25" s="312"/>
      <c r="GM25" s="312"/>
      <c r="GN25" s="312"/>
      <c r="GO25" s="312"/>
      <c r="GP25" s="312"/>
      <c r="GQ25" s="312"/>
      <c r="GR25" s="312"/>
      <c r="GS25" s="312"/>
      <c r="GT25" s="312"/>
      <c r="GU25" s="312"/>
      <c r="GV25" s="312"/>
      <c r="GW25" s="312"/>
      <c r="GX25" s="312"/>
      <c r="GY25" s="312"/>
      <c r="GZ25" s="312"/>
      <c r="HA25" s="312"/>
      <c r="HB25" s="312"/>
      <c r="HC25" s="312"/>
      <c r="HD25" s="312"/>
      <c r="HE25" s="312"/>
      <c r="HF25" s="312"/>
      <c r="HG25" s="312"/>
      <c r="HH25" s="312"/>
      <c r="HI25" s="312"/>
      <c r="HJ25" s="312"/>
      <c r="HK25" s="312"/>
      <c r="HL25" s="312"/>
      <c r="HM25" s="312"/>
      <c r="HN25" s="312"/>
      <c r="HO25" s="312"/>
      <c r="HP25" s="312"/>
      <c r="HQ25" s="312"/>
      <c r="HR25" s="312"/>
      <c r="HS25" s="312"/>
      <c r="HT25" s="312"/>
      <c r="HU25" s="312"/>
      <c r="HV25" s="312"/>
      <c r="HW25" s="312"/>
      <c r="HX25" s="312"/>
      <c r="HY25" s="312"/>
      <c r="HZ25" s="312"/>
      <c r="IA25" s="312"/>
      <c r="IB25" s="312"/>
      <c r="IC25" s="312"/>
      <c r="ID25" s="312"/>
      <c r="IE25" s="312"/>
      <c r="IF25" s="312"/>
      <c r="IG25" s="312"/>
      <c r="IH25" s="312"/>
      <c r="II25" s="312"/>
      <c r="IJ25" s="312"/>
      <c r="IK25" s="312"/>
      <c r="IL25" s="312"/>
      <c r="IM25" s="312"/>
      <c r="IN25" s="312"/>
      <c r="IO25" s="312"/>
      <c r="IP25" s="312"/>
      <c r="IQ25" s="312"/>
      <c r="IR25" s="312"/>
      <c r="IS25" s="312"/>
      <c r="IT25" s="312"/>
      <c r="IU25" s="312"/>
      <c r="IV25" s="312"/>
      <c r="IW25" s="312"/>
      <c r="IX25" s="312"/>
      <c r="IY25" s="312"/>
      <c r="IZ25" s="312"/>
      <c r="JA25" s="312"/>
      <c r="JB25" s="312"/>
    </row>
    <row r="26" spans="1:262" ht="18" customHeight="1">
      <c r="A26" s="332"/>
      <c r="B26" s="323" t="s">
        <v>401</v>
      </c>
      <c r="C26" s="2248"/>
      <c r="D26" s="2248"/>
      <c r="E26" s="2248"/>
      <c r="F26" s="2248"/>
      <c r="G26" s="2248"/>
      <c r="H26" s="2248"/>
      <c r="I26" s="2245"/>
      <c r="J26" s="2245"/>
      <c r="K26" s="2245"/>
      <c r="L26" s="321">
        <v>213</v>
      </c>
      <c r="M26" s="321">
        <v>106</v>
      </c>
      <c r="N26" s="322">
        <v>107</v>
      </c>
      <c r="O26" s="111">
        <v>208</v>
      </c>
      <c r="P26" s="111">
        <v>107</v>
      </c>
      <c r="Q26" s="111">
        <v>101</v>
      </c>
      <c r="R26" s="321">
        <v>179</v>
      </c>
      <c r="S26" s="321">
        <v>94</v>
      </c>
      <c r="T26" s="321">
        <v>85</v>
      </c>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c r="CA26" s="312"/>
      <c r="CB26" s="312"/>
      <c r="CC26" s="312"/>
      <c r="CD26" s="312"/>
      <c r="CE26" s="312"/>
      <c r="CF26" s="312"/>
      <c r="CG26" s="312"/>
      <c r="CH26" s="312"/>
      <c r="CI26" s="312"/>
      <c r="CJ26" s="312"/>
      <c r="CK26" s="312"/>
      <c r="CL26" s="312"/>
      <c r="CM26" s="312"/>
      <c r="CN26" s="312"/>
      <c r="CO26" s="312"/>
      <c r="CP26" s="312"/>
      <c r="CQ26" s="312"/>
      <c r="CR26" s="312"/>
      <c r="CS26" s="312"/>
      <c r="CT26" s="312"/>
      <c r="CU26" s="312"/>
      <c r="CV26" s="312"/>
      <c r="CW26" s="312"/>
      <c r="CX26" s="312"/>
      <c r="CY26" s="312"/>
      <c r="CZ26" s="312"/>
      <c r="DA26" s="312"/>
      <c r="DB26" s="312"/>
      <c r="DC26" s="312"/>
      <c r="DD26" s="312"/>
      <c r="DE26" s="312"/>
      <c r="DF26" s="312"/>
      <c r="DG26" s="312"/>
      <c r="DH26" s="312"/>
      <c r="DI26" s="312"/>
      <c r="DJ26" s="312"/>
      <c r="DK26" s="312"/>
      <c r="DL26" s="312"/>
      <c r="DM26" s="312"/>
      <c r="DN26" s="312"/>
      <c r="DO26" s="312"/>
      <c r="DP26" s="312"/>
      <c r="DQ26" s="312"/>
      <c r="DR26" s="312"/>
      <c r="DS26" s="312"/>
      <c r="DT26" s="312"/>
      <c r="DU26" s="312"/>
      <c r="DV26" s="312"/>
      <c r="DW26" s="312"/>
      <c r="DX26" s="312"/>
      <c r="DY26" s="312"/>
      <c r="DZ26" s="312"/>
      <c r="EA26" s="312"/>
      <c r="EB26" s="312"/>
      <c r="EC26" s="312"/>
      <c r="ED26" s="312"/>
      <c r="EE26" s="312"/>
      <c r="EF26" s="312"/>
      <c r="EG26" s="312"/>
      <c r="EH26" s="312"/>
      <c r="EI26" s="312"/>
      <c r="EJ26" s="312"/>
      <c r="EK26" s="312"/>
      <c r="EL26" s="312"/>
      <c r="EM26" s="312"/>
      <c r="EN26" s="312"/>
      <c r="EO26" s="312"/>
      <c r="EP26" s="312"/>
      <c r="EQ26" s="312"/>
      <c r="ER26" s="312"/>
      <c r="ES26" s="312"/>
      <c r="ET26" s="312"/>
      <c r="EU26" s="312"/>
      <c r="EV26" s="312"/>
      <c r="EW26" s="312"/>
      <c r="EX26" s="312"/>
      <c r="EY26" s="312"/>
      <c r="EZ26" s="312"/>
      <c r="FA26" s="312"/>
      <c r="FB26" s="312"/>
      <c r="FC26" s="312"/>
      <c r="FD26" s="312"/>
      <c r="FE26" s="312"/>
      <c r="FF26" s="312"/>
      <c r="FG26" s="312"/>
      <c r="FH26" s="312"/>
      <c r="FI26" s="312"/>
      <c r="FJ26" s="312"/>
      <c r="FK26" s="312"/>
      <c r="FL26" s="312"/>
      <c r="FM26" s="312"/>
      <c r="FN26" s="312"/>
      <c r="FO26" s="312"/>
      <c r="FP26" s="312"/>
      <c r="FQ26" s="312"/>
      <c r="FR26" s="312"/>
      <c r="FS26" s="312"/>
      <c r="FT26" s="312"/>
      <c r="FU26" s="312"/>
      <c r="FV26" s="312"/>
      <c r="FW26" s="312"/>
      <c r="FX26" s="312"/>
      <c r="FY26" s="312"/>
      <c r="FZ26" s="312"/>
      <c r="GA26" s="312"/>
      <c r="GB26" s="312"/>
      <c r="GC26" s="312"/>
      <c r="GD26" s="312"/>
      <c r="GE26" s="312"/>
      <c r="GF26" s="312"/>
      <c r="GG26" s="312"/>
      <c r="GH26" s="312"/>
      <c r="GI26" s="312"/>
      <c r="GJ26" s="312"/>
      <c r="GK26" s="312"/>
      <c r="GL26" s="312"/>
      <c r="GM26" s="312"/>
      <c r="GN26" s="312"/>
      <c r="GO26" s="312"/>
      <c r="GP26" s="312"/>
      <c r="GQ26" s="312"/>
      <c r="GR26" s="312"/>
      <c r="GS26" s="312"/>
      <c r="GT26" s="312"/>
      <c r="GU26" s="312"/>
      <c r="GV26" s="312"/>
      <c r="GW26" s="312"/>
      <c r="GX26" s="312"/>
      <c r="GY26" s="312"/>
      <c r="GZ26" s="312"/>
      <c r="HA26" s="312"/>
      <c r="HB26" s="312"/>
      <c r="HC26" s="312"/>
      <c r="HD26" s="312"/>
      <c r="HE26" s="312"/>
      <c r="HF26" s="312"/>
      <c r="HG26" s="312"/>
      <c r="HH26" s="312"/>
      <c r="HI26" s="312"/>
      <c r="HJ26" s="312"/>
      <c r="HK26" s="312"/>
      <c r="HL26" s="312"/>
      <c r="HM26" s="312"/>
      <c r="HN26" s="312"/>
      <c r="HO26" s="312"/>
      <c r="HP26" s="312"/>
      <c r="HQ26" s="312"/>
      <c r="HR26" s="312"/>
      <c r="HS26" s="312"/>
      <c r="HT26" s="312"/>
      <c r="HU26" s="312"/>
      <c r="HV26" s="312"/>
      <c r="HW26" s="312"/>
      <c r="HX26" s="312"/>
      <c r="HY26" s="312"/>
      <c r="HZ26" s="312"/>
      <c r="IA26" s="312"/>
      <c r="IB26" s="312"/>
      <c r="IC26" s="312"/>
      <c r="ID26" s="312"/>
      <c r="IE26" s="312"/>
      <c r="IF26" s="312"/>
      <c r="IG26" s="312"/>
      <c r="IH26" s="312"/>
      <c r="II26" s="312"/>
      <c r="IJ26" s="312"/>
      <c r="IK26" s="312"/>
      <c r="IL26" s="312"/>
      <c r="IM26" s="312"/>
      <c r="IN26" s="312"/>
      <c r="IO26" s="312"/>
      <c r="IP26" s="312"/>
      <c r="IQ26" s="312"/>
      <c r="IR26" s="312"/>
      <c r="IS26" s="312"/>
      <c r="IT26" s="312"/>
      <c r="IU26" s="312"/>
      <c r="IV26" s="312"/>
      <c r="IW26" s="312"/>
      <c r="IX26" s="312"/>
      <c r="IY26" s="312"/>
      <c r="IZ26" s="312"/>
      <c r="JA26" s="312"/>
      <c r="JB26" s="312"/>
    </row>
    <row r="27" spans="1:262" ht="18" customHeight="1">
      <c r="A27" s="332"/>
      <c r="B27" s="334" t="s">
        <v>402</v>
      </c>
      <c r="C27" s="2248"/>
      <c r="D27" s="2248"/>
      <c r="E27" s="2248"/>
      <c r="F27" s="2248"/>
      <c r="G27" s="2248"/>
      <c r="H27" s="2248"/>
      <c r="I27" s="2245"/>
      <c r="J27" s="2245"/>
      <c r="K27" s="2245"/>
      <c r="L27" s="321">
        <v>701</v>
      </c>
      <c r="M27" s="321">
        <v>438</v>
      </c>
      <c r="N27" s="322">
        <v>263</v>
      </c>
      <c r="O27" s="111">
        <v>724</v>
      </c>
      <c r="P27" s="111">
        <v>466</v>
      </c>
      <c r="Q27" s="111">
        <v>258</v>
      </c>
      <c r="R27" s="321">
        <v>633</v>
      </c>
      <c r="S27" s="321">
        <v>406</v>
      </c>
      <c r="T27" s="321">
        <v>227</v>
      </c>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c r="BR27" s="312"/>
      <c r="BS27" s="312"/>
      <c r="BT27" s="312"/>
      <c r="BU27" s="312"/>
      <c r="BV27" s="312"/>
      <c r="BW27" s="312"/>
      <c r="BX27" s="312"/>
      <c r="BY27" s="312"/>
      <c r="BZ27" s="312"/>
      <c r="CA27" s="312"/>
      <c r="CB27" s="312"/>
      <c r="CC27" s="312"/>
      <c r="CD27" s="312"/>
      <c r="CE27" s="312"/>
      <c r="CF27" s="312"/>
      <c r="CG27" s="312"/>
      <c r="CH27" s="312"/>
      <c r="CI27" s="312"/>
      <c r="CJ27" s="312"/>
      <c r="CK27" s="312"/>
      <c r="CL27" s="312"/>
      <c r="CM27" s="312"/>
      <c r="CN27" s="312"/>
      <c r="CO27" s="312"/>
      <c r="CP27" s="312"/>
      <c r="CQ27" s="312"/>
      <c r="CR27" s="312"/>
      <c r="CS27" s="312"/>
      <c r="CT27" s="312"/>
      <c r="CU27" s="312"/>
      <c r="CV27" s="312"/>
      <c r="CW27" s="312"/>
      <c r="CX27" s="312"/>
      <c r="CY27" s="312"/>
      <c r="CZ27" s="312"/>
      <c r="DA27" s="312"/>
      <c r="DB27" s="312"/>
      <c r="DC27" s="312"/>
      <c r="DD27" s="312"/>
      <c r="DE27" s="312"/>
      <c r="DF27" s="312"/>
      <c r="DG27" s="312"/>
      <c r="DH27" s="312"/>
      <c r="DI27" s="312"/>
      <c r="DJ27" s="312"/>
      <c r="DK27" s="312"/>
      <c r="DL27" s="312"/>
      <c r="DM27" s="312"/>
      <c r="DN27" s="312"/>
      <c r="DO27" s="312"/>
      <c r="DP27" s="312"/>
      <c r="DQ27" s="312"/>
      <c r="DR27" s="312"/>
      <c r="DS27" s="312"/>
      <c r="DT27" s="312"/>
      <c r="DU27" s="312"/>
      <c r="DV27" s="312"/>
      <c r="DW27" s="312"/>
      <c r="DX27" s="312"/>
      <c r="DY27" s="312"/>
      <c r="DZ27" s="312"/>
      <c r="EA27" s="312"/>
      <c r="EB27" s="312"/>
      <c r="EC27" s="312"/>
      <c r="ED27" s="312"/>
      <c r="EE27" s="312"/>
      <c r="EF27" s="312"/>
      <c r="EG27" s="312"/>
      <c r="EH27" s="312"/>
      <c r="EI27" s="312"/>
      <c r="EJ27" s="312"/>
      <c r="EK27" s="312"/>
      <c r="EL27" s="312"/>
      <c r="EM27" s="312"/>
      <c r="EN27" s="312"/>
      <c r="EO27" s="312"/>
      <c r="EP27" s="312"/>
      <c r="EQ27" s="312"/>
      <c r="ER27" s="312"/>
      <c r="ES27" s="312"/>
      <c r="ET27" s="312"/>
      <c r="EU27" s="312"/>
      <c r="EV27" s="312"/>
      <c r="EW27" s="312"/>
      <c r="EX27" s="312"/>
      <c r="EY27" s="312"/>
      <c r="EZ27" s="312"/>
      <c r="FA27" s="312"/>
      <c r="FB27" s="312"/>
      <c r="FC27" s="312"/>
      <c r="FD27" s="312"/>
      <c r="FE27" s="312"/>
      <c r="FF27" s="312"/>
      <c r="FG27" s="312"/>
      <c r="FH27" s="312"/>
      <c r="FI27" s="312"/>
      <c r="FJ27" s="312"/>
      <c r="FK27" s="312"/>
      <c r="FL27" s="312"/>
      <c r="FM27" s="312"/>
      <c r="FN27" s="312"/>
      <c r="FO27" s="312"/>
      <c r="FP27" s="312"/>
      <c r="FQ27" s="312"/>
      <c r="FR27" s="312"/>
      <c r="FS27" s="312"/>
      <c r="FT27" s="312"/>
      <c r="FU27" s="312"/>
      <c r="FV27" s="312"/>
      <c r="FW27" s="312"/>
      <c r="FX27" s="312"/>
      <c r="FY27" s="312"/>
      <c r="FZ27" s="312"/>
      <c r="GA27" s="312"/>
      <c r="GB27" s="312"/>
      <c r="GC27" s="312"/>
      <c r="GD27" s="312"/>
      <c r="GE27" s="312"/>
      <c r="GF27" s="312"/>
      <c r="GG27" s="312"/>
      <c r="GH27" s="312"/>
      <c r="GI27" s="312"/>
      <c r="GJ27" s="312"/>
      <c r="GK27" s="312"/>
      <c r="GL27" s="312"/>
      <c r="GM27" s="312"/>
      <c r="GN27" s="312"/>
      <c r="GO27" s="312"/>
      <c r="GP27" s="312"/>
      <c r="GQ27" s="312"/>
      <c r="GR27" s="312"/>
      <c r="GS27" s="312"/>
      <c r="GT27" s="312"/>
      <c r="GU27" s="312"/>
      <c r="GV27" s="312"/>
      <c r="GW27" s="312"/>
      <c r="GX27" s="312"/>
      <c r="GY27" s="312"/>
      <c r="GZ27" s="312"/>
      <c r="HA27" s="312"/>
      <c r="HB27" s="312"/>
      <c r="HC27" s="312"/>
      <c r="HD27" s="312"/>
      <c r="HE27" s="312"/>
      <c r="HF27" s="312"/>
      <c r="HG27" s="312"/>
      <c r="HH27" s="312"/>
      <c r="HI27" s="312"/>
      <c r="HJ27" s="312"/>
      <c r="HK27" s="312"/>
      <c r="HL27" s="312"/>
      <c r="HM27" s="312"/>
      <c r="HN27" s="312"/>
      <c r="HO27" s="312"/>
      <c r="HP27" s="312"/>
      <c r="HQ27" s="312"/>
      <c r="HR27" s="312"/>
      <c r="HS27" s="312"/>
      <c r="HT27" s="312"/>
      <c r="HU27" s="312"/>
      <c r="HV27" s="312"/>
      <c r="HW27" s="312"/>
      <c r="HX27" s="312"/>
      <c r="HY27" s="312"/>
      <c r="HZ27" s="312"/>
      <c r="IA27" s="312"/>
      <c r="IB27" s="312"/>
      <c r="IC27" s="312"/>
      <c r="ID27" s="312"/>
      <c r="IE27" s="312"/>
      <c r="IF27" s="312"/>
      <c r="IG27" s="312"/>
      <c r="IH27" s="312"/>
      <c r="II27" s="312"/>
      <c r="IJ27" s="312"/>
      <c r="IK27" s="312"/>
      <c r="IL27" s="312"/>
      <c r="IM27" s="312"/>
      <c r="IN27" s="312"/>
      <c r="IO27" s="312"/>
      <c r="IP27" s="312"/>
      <c r="IQ27" s="312"/>
      <c r="IR27" s="312"/>
      <c r="IS27" s="312"/>
      <c r="IT27" s="312"/>
      <c r="IU27" s="312"/>
      <c r="IV27" s="312"/>
      <c r="IW27" s="312"/>
      <c r="IX27" s="312"/>
      <c r="IY27" s="312"/>
      <c r="IZ27" s="312"/>
      <c r="JA27" s="312"/>
      <c r="JB27" s="312"/>
    </row>
    <row r="28" spans="1:262" ht="18" customHeight="1">
      <c r="A28" s="332"/>
      <c r="B28" s="323" t="s">
        <v>403</v>
      </c>
      <c r="C28" s="198">
        <v>645</v>
      </c>
      <c r="D28" s="199">
        <v>480</v>
      </c>
      <c r="E28" s="199">
        <v>165</v>
      </c>
      <c r="F28" s="199">
        <v>668</v>
      </c>
      <c r="G28" s="199">
        <v>477</v>
      </c>
      <c r="H28" s="199">
        <v>191</v>
      </c>
      <c r="I28" s="199">
        <v>577</v>
      </c>
      <c r="J28" s="199">
        <v>422</v>
      </c>
      <c r="K28" s="199">
        <v>155</v>
      </c>
      <c r="L28" s="321">
        <v>544</v>
      </c>
      <c r="M28" s="321">
        <v>399</v>
      </c>
      <c r="N28" s="335">
        <v>145</v>
      </c>
      <c r="O28" s="198">
        <v>551</v>
      </c>
      <c r="P28" s="198">
        <v>391</v>
      </c>
      <c r="Q28" s="199">
        <v>160</v>
      </c>
      <c r="R28" s="319">
        <v>541</v>
      </c>
      <c r="S28" s="319">
        <v>374</v>
      </c>
      <c r="T28" s="329">
        <v>167</v>
      </c>
    </row>
    <row r="29" spans="1:262" ht="18" customHeight="1" thickBot="1">
      <c r="A29" s="2246" t="s">
        <v>404</v>
      </c>
      <c r="B29" s="2247"/>
      <c r="C29" s="119">
        <v>11</v>
      </c>
      <c r="D29" s="119">
        <v>3</v>
      </c>
      <c r="E29" s="336">
        <v>8</v>
      </c>
      <c r="F29" s="119">
        <v>8</v>
      </c>
      <c r="G29" s="119">
        <v>3</v>
      </c>
      <c r="H29" s="336">
        <v>5</v>
      </c>
      <c r="I29" s="119">
        <v>99</v>
      </c>
      <c r="J29" s="119">
        <v>53</v>
      </c>
      <c r="K29" s="119">
        <v>46</v>
      </c>
      <c r="L29" s="337">
        <v>205</v>
      </c>
      <c r="M29" s="337">
        <v>129</v>
      </c>
      <c r="N29" s="338">
        <v>76</v>
      </c>
      <c r="O29" s="119">
        <v>321</v>
      </c>
      <c r="P29" s="119">
        <v>171</v>
      </c>
      <c r="Q29" s="336">
        <v>150</v>
      </c>
      <c r="R29" s="339">
        <v>182</v>
      </c>
      <c r="S29" s="339">
        <v>99</v>
      </c>
      <c r="T29" s="340">
        <v>83</v>
      </c>
    </row>
    <row r="30" spans="1:262" ht="18" customHeight="1">
      <c r="A30" s="341" t="s">
        <v>405</v>
      </c>
      <c r="B30" s="341"/>
      <c r="C30" s="341"/>
      <c r="D30" s="341"/>
      <c r="E30" s="341"/>
      <c r="F30" s="341"/>
      <c r="G30" s="341"/>
      <c r="H30" s="341"/>
    </row>
    <row r="31" spans="1:262" ht="18" customHeight="1">
      <c r="A31" s="312" t="s">
        <v>2412</v>
      </c>
    </row>
    <row r="32" spans="1:262" ht="18" customHeight="1">
      <c r="A32" s="312" t="s">
        <v>406</v>
      </c>
    </row>
    <row r="33" spans="1:1" ht="18" customHeight="1">
      <c r="A33" s="312" t="s">
        <v>407</v>
      </c>
    </row>
  </sheetData>
  <mergeCells count="36">
    <mergeCell ref="A14:B14"/>
    <mergeCell ref="A2:B3"/>
    <mergeCell ref="C2:E2"/>
    <mergeCell ref="F2:H2"/>
    <mergeCell ref="O2:Q2"/>
    <mergeCell ref="R2:T2"/>
    <mergeCell ref="A4:B5"/>
    <mergeCell ref="A6:B6"/>
    <mergeCell ref="A10:B10"/>
    <mergeCell ref="I2:K2"/>
    <mergeCell ref="L2:N2"/>
    <mergeCell ref="I16:I17"/>
    <mergeCell ref="J16:J17"/>
    <mergeCell ref="K16:K17"/>
    <mergeCell ref="C20:C21"/>
    <mergeCell ref="D20:D21"/>
    <mergeCell ref="E20:E21"/>
    <mergeCell ref="F20:F21"/>
    <mergeCell ref="G20:G21"/>
    <mergeCell ref="H20:H21"/>
    <mergeCell ref="C16:C17"/>
    <mergeCell ref="D16:D17"/>
    <mergeCell ref="E16:E17"/>
    <mergeCell ref="F16:F17"/>
    <mergeCell ref="G16:G17"/>
    <mergeCell ref="H16:H17"/>
    <mergeCell ref="I22:I27"/>
    <mergeCell ref="J22:J27"/>
    <mergeCell ref="K22:K27"/>
    <mergeCell ref="A29:B29"/>
    <mergeCell ref="C22:C27"/>
    <mergeCell ref="D22:D27"/>
    <mergeCell ref="E22:E27"/>
    <mergeCell ref="F22:F27"/>
    <mergeCell ref="G22:G27"/>
    <mergeCell ref="H22:H27"/>
  </mergeCells>
  <phoneticPr fontId="4"/>
  <pageMargins left="0.7" right="0.7" top="0.75" bottom="0.75" header="0.3" footer="0.3"/>
  <pageSetup paperSize="9" scale="7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AE009-20F7-4CE7-878E-EAD6F6542168}">
  <sheetPr codeName="Sheet22">
    <pageSetUpPr fitToPage="1"/>
  </sheetPr>
  <dimension ref="A1:AT60"/>
  <sheetViews>
    <sheetView showGridLines="0" zoomScaleNormal="100" workbookViewId="0"/>
  </sheetViews>
  <sheetFormatPr defaultRowHeight="17.25" customHeight="1"/>
  <cols>
    <col min="1" max="1" width="24.59765625" style="82" customWidth="1"/>
    <col min="2" max="43" width="6.69921875" style="82" customWidth="1"/>
    <col min="44" max="45" width="6.69921875" style="30" customWidth="1"/>
    <col min="46" max="46" width="6.69921875" style="82" customWidth="1"/>
    <col min="47" max="289" width="9" style="82"/>
    <col min="290" max="290" width="18.59765625" style="82" customWidth="1"/>
    <col min="291" max="302" width="6.59765625" style="82" customWidth="1"/>
    <col min="303" max="545" width="9" style="82"/>
    <col min="546" max="546" width="18.59765625" style="82" customWidth="1"/>
    <col min="547" max="558" width="6.59765625" style="82" customWidth="1"/>
    <col min="559" max="801" width="9" style="82"/>
    <col min="802" max="802" width="18.59765625" style="82" customWidth="1"/>
    <col min="803" max="814" width="6.59765625" style="82" customWidth="1"/>
    <col min="815" max="1057" width="9" style="82"/>
    <col min="1058" max="1058" width="18.59765625" style="82" customWidth="1"/>
    <col min="1059" max="1070" width="6.59765625" style="82" customWidth="1"/>
    <col min="1071" max="1313" width="9" style="82"/>
    <col min="1314" max="1314" width="18.59765625" style="82" customWidth="1"/>
    <col min="1315" max="1326" width="6.59765625" style="82" customWidth="1"/>
    <col min="1327" max="1569" width="9" style="82"/>
    <col min="1570" max="1570" width="18.59765625" style="82" customWidth="1"/>
    <col min="1571" max="1582" width="6.59765625" style="82" customWidth="1"/>
    <col min="1583" max="1825" width="9" style="82"/>
    <col min="1826" max="1826" width="18.59765625" style="82" customWidth="1"/>
    <col min="1827" max="1838" width="6.59765625" style="82" customWidth="1"/>
    <col min="1839" max="2081" width="9" style="82"/>
    <col min="2082" max="2082" width="18.59765625" style="82" customWidth="1"/>
    <col min="2083" max="2094" width="6.59765625" style="82" customWidth="1"/>
    <col min="2095" max="2337" width="9" style="82"/>
    <col min="2338" max="2338" width="18.59765625" style="82" customWidth="1"/>
    <col min="2339" max="2350" width="6.59765625" style="82" customWidth="1"/>
    <col min="2351" max="2593" width="9" style="82"/>
    <col min="2594" max="2594" width="18.59765625" style="82" customWidth="1"/>
    <col min="2595" max="2606" width="6.59765625" style="82" customWidth="1"/>
    <col min="2607" max="2849" width="9" style="82"/>
    <col min="2850" max="2850" width="18.59765625" style="82" customWidth="1"/>
    <col min="2851" max="2862" width="6.59765625" style="82" customWidth="1"/>
    <col min="2863" max="3105" width="9" style="82"/>
    <col min="3106" max="3106" width="18.59765625" style="82" customWidth="1"/>
    <col min="3107" max="3118" width="6.59765625" style="82" customWidth="1"/>
    <col min="3119" max="3361" width="9" style="82"/>
    <col min="3362" max="3362" width="18.59765625" style="82" customWidth="1"/>
    <col min="3363" max="3374" width="6.59765625" style="82" customWidth="1"/>
    <col min="3375" max="3617" width="9" style="82"/>
    <col min="3618" max="3618" width="18.59765625" style="82" customWidth="1"/>
    <col min="3619" max="3630" width="6.59765625" style="82" customWidth="1"/>
    <col min="3631" max="3873" width="9" style="82"/>
    <col min="3874" max="3874" width="18.59765625" style="82" customWidth="1"/>
    <col min="3875" max="3886" width="6.59765625" style="82" customWidth="1"/>
    <col min="3887" max="4129" width="9" style="82"/>
    <col min="4130" max="4130" width="18.59765625" style="82" customWidth="1"/>
    <col min="4131" max="4142" width="6.59765625" style="82" customWidth="1"/>
    <col min="4143" max="4385" width="9" style="82"/>
    <col min="4386" max="4386" width="18.59765625" style="82" customWidth="1"/>
    <col min="4387" max="4398" width="6.59765625" style="82" customWidth="1"/>
    <col min="4399" max="4641" width="9" style="82"/>
    <col min="4642" max="4642" width="18.59765625" style="82" customWidth="1"/>
    <col min="4643" max="4654" width="6.59765625" style="82" customWidth="1"/>
    <col min="4655" max="4897" width="9" style="82"/>
    <col min="4898" max="4898" width="18.59765625" style="82" customWidth="1"/>
    <col min="4899" max="4910" width="6.59765625" style="82" customWidth="1"/>
    <col min="4911" max="5153" width="9" style="82"/>
    <col min="5154" max="5154" width="18.59765625" style="82" customWidth="1"/>
    <col min="5155" max="5166" width="6.59765625" style="82" customWidth="1"/>
    <col min="5167" max="5409" width="9" style="82"/>
    <col min="5410" max="5410" width="18.59765625" style="82" customWidth="1"/>
    <col min="5411" max="5422" width="6.59765625" style="82" customWidth="1"/>
    <col min="5423" max="5665" width="9" style="82"/>
    <col min="5666" max="5666" width="18.59765625" style="82" customWidth="1"/>
    <col min="5667" max="5678" width="6.59765625" style="82" customWidth="1"/>
    <col min="5679" max="5921" width="9" style="82"/>
    <col min="5922" max="5922" width="18.59765625" style="82" customWidth="1"/>
    <col min="5923" max="5934" width="6.59765625" style="82" customWidth="1"/>
    <col min="5935" max="6177" width="9" style="82"/>
    <col min="6178" max="6178" width="18.59765625" style="82" customWidth="1"/>
    <col min="6179" max="6190" width="6.59765625" style="82" customWidth="1"/>
    <col min="6191" max="6433" width="9" style="82"/>
    <col min="6434" max="6434" width="18.59765625" style="82" customWidth="1"/>
    <col min="6435" max="6446" width="6.59765625" style="82" customWidth="1"/>
    <col min="6447" max="6689" width="9" style="82"/>
    <col min="6690" max="6690" width="18.59765625" style="82" customWidth="1"/>
    <col min="6691" max="6702" width="6.59765625" style="82" customWidth="1"/>
    <col min="6703" max="6945" width="9" style="82"/>
    <col min="6946" max="6946" width="18.59765625" style="82" customWidth="1"/>
    <col min="6947" max="6958" width="6.59765625" style="82" customWidth="1"/>
    <col min="6959" max="7201" width="9" style="82"/>
    <col min="7202" max="7202" width="18.59765625" style="82" customWidth="1"/>
    <col min="7203" max="7214" width="6.59765625" style="82" customWidth="1"/>
    <col min="7215" max="7457" width="9" style="82"/>
    <col min="7458" max="7458" width="18.59765625" style="82" customWidth="1"/>
    <col min="7459" max="7470" width="6.59765625" style="82" customWidth="1"/>
    <col min="7471" max="7713" width="9" style="82"/>
    <col min="7714" max="7714" width="18.59765625" style="82" customWidth="1"/>
    <col min="7715" max="7726" width="6.59765625" style="82" customWidth="1"/>
    <col min="7727" max="7969" width="9" style="82"/>
    <col min="7970" max="7970" width="18.59765625" style="82" customWidth="1"/>
    <col min="7971" max="7982" width="6.59765625" style="82" customWidth="1"/>
    <col min="7983" max="8225" width="9" style="82"/>
    <col min="8226" max="8226" width="18.59765625" style="82" customWidth="1"/>
    <col min="8227" max="8238" width="6.59765625" style="82" customWidth="1"/>
    <col min="8239" max="8481" width="9" style="82"/>
    <col min="8482" max="8482" width="18.59765625" style="82" customWidth="1"/>
    <col min="8483" max="8494" width="6.59765625" style="82" customWidth="1"/>
    <col min="8495" max="8737" width="9" style="82"/>
    <col min="8738" max="8738" width="18.59765625" style="82" customWidth="1"/>
    <col min="8739" max="8750" width="6.59765625" style="82" customWidth="1"/>
    <col min="8751" max="8993" width="9" style="82"/>
    <col min="8994" max="8994" width="18.59765625" style="82" customWidth="1"/>
    <col min="8995" max="9006" width="6.59765625" style="82" customWidth="1"/>
    <col min="9007" max="9249" width="9" style="82"/>
    <col min="9250" max="9250" width="18.59765625" style="82" customWidth="1"/>
    <col min="9251" max="9262" width="6.59765625" style="82" customWidth="1"/>
    <col min="9263" max="9505" width="9" style="82"/>
    <col min="9506" max="9506" width="18.59765625" style="82" customWidth="1"/>
    <col min="9507" max="9518" width="6.59765625" style="82" customWidth="1"/>
    <col min="9519" max="9761" width="9" style="82"/>
    <col min="9762" max="9762" width="18.59765625" style="82" customWidth="1"/>
    <col min="9763" max="9774" width="6.59765625" style="82" customWidth="1"/>
    <col min="9775" max="10017" width="9" style="82"/>
    <col min="10018" max="10018" width="18.59765625" style="82" customWidth="1"/>
    <col min="10019" max="10030" width="6.59765625" style="82" customWidth="1"/>
    <col min="10031" max="10273" width="9" style="82"/>
    <col min="10274" max="10274" width="18.59765625" style="82" customWidth="1"/>
    <col min="10275" max="10286" width="6.59765625" style="82" customWidth="1"/>
    <col min="10287" max="10529" width="9" style="82"/>
    <col min="10530" max="10530" width="18.59765625" style="82" customWidth="1"/>
    <col min="10531" max="10542" width="6.59765625" style="82" customWidth="1"/>
    <col min="10543" max="10785" width="9" style="82"/>
    <col min="10786" max="10786" width="18.59765625" style="82" customWidth="1"/>
    <col min="10787" max="10798" width="6.59765625" style="82" customWidth="1"/>
    <col min="10799" max="11041" width="9" style="82"/>
    <col min="11042" max="11042" width="18.59765625" style="82" customWidth="1"/>
    <col min="11043" max="11054" width="6.59765625" style="82" customWidth="1"/>
    <col min="11055" max="11297" width="9" style="82"/>
    <col min="11298" max="11298" width="18.59765625" style="82" customWidth="1"/>
    <col min="11299" max="11310" width="6.59765625" style="82" customWidth="1"/>
    <col min="11311" max="11553" width="9" style="82"/>
    <col min="11554" max="11554" width="18.59765625" style="82" customWidth="1"/>
    <col min="11555" max="11566" width="6.59765625" style="82" customWidth="1"/>
    <col min="11567" max="11809" width="9" style="82"/>
    <col min="11810" max="11810" width="18.59765625" style="82" customWidth="1"/>
    <col min="11811" max="11822" width="6.59765625" style="82" customWidth="1"/>
    <col min="11823" max="12065" width="9" style="82"/>
    <col min="12066" max="12066" width="18.59765625" style="82" customWidth="1"/>
    <col min="12067" max="12078" width="6.59765625" style="82" customWidth="1"/>
    <col min="12079" max="12321" width="9" style="82"/>
    <col min="12322" max="12322" width="18.59765625" style="82" customWidth="1"/>
    <col min="12323" max="12334" width="6.59765625" style="82" customWidth="1"/>
    <col min="12335" max="12577" width="9" style="82"/>
    <col min="12578" max="12578" width="18.59765625" style="82" customWidth="1"/>
    <col min="12579" max="12590" width="6.59765625" style="82" customWidth="1"/>
    <col min="12591" max="12833" width="9" style="82"/>
    <col min="12834" max="12834" width="18.59765625" style="82" customWidth="1"/>
    <col min="12835" max="12846" width="6.59765625" style="82" customWidth="1"/>
    <col min="12847" max="13089" width="9" style="82"/>
    <col min="13090" max="13090" width="18.59765625" style="82" customWidth="1"/>
    <col min="13091" max="13102" width="6.59765625" style="82" customWidth="1"/>
    <col min="13103" max="13345" width="9" style="82"/>
    <col min="13346" max="13346" width="18.59765625" style="82" customWidth="1"/>
    <col min="13347" max="13358" width="6.59765625" style="82" customWidth="1"/>
    <col min="13359" max="13601" width="9" style="82"/>
    <col min="13602" max="13602" width="18.59765625" style="82" customWidth="1"/>
    <col min="13603" max="13614" width="6.59765625" style="82" customWidth="1"/>
    <col min="13615" max="13857" width="9" style="82"/>
    <col min="13858" max="13858" width="18.59765625" style="82" customWidth="1"/>
    <col min="13859" max="13870" width="6.59765625" style="82" customWidth="1"/>
    <col min="13871" max="14113" width="9" style="82"/>
    <col min="14114" max="14114" width="18.59765625" style="82" customWidth="1"/>
    <col min="14115" max="14126" width="6.59765625" style="82" customWidth="1"/>
    <col min="14127" max="14369" width="9" style="82"/>
    <col min="14370" max="14370" width="18.59765625" style="82" customWidth="1"/>
    <col min="14371" max="14382" width="6.59765625" style="82" customWidth="1"/>
    <col min="14383" max="14625" width="9" style="82"/>
    <col min="14626" max="14626" width="18.59765625" style="82" customWidth="1"/>
    <col min="14627" max="14638" width="6.59765625" style="82" customWidth="1"/>
    <col min="14639" max="14881" width="9" style="82"/>
    <col min="14882" max="14882" width="18.59765625" style="82" customWidth="1"/>
    <col min="14883" max="14894" width="6.59765625" style="82" customWidth="1"/>
    <col min="14895" max="15137" width="9" style="82"/>
    <col min="15138" max="15138" width="18.59765625" style="82" customWidth="1"/>
    <col min="15139" max="15150" width="6.59765625" style="82" customWidth="1"/>
    <col min="15151" max="15393" width="9" style="82"/>
    <col min="15394" max="15394" width="18.59765625" style="82" customWidth="1"/>
    <col min="15395" max="15406" width="6.59765625" style="82" customWidth="1"/>
    <col min="15407" max="15649" width="9" style="82"/>
    <col min="15650" max="15650" width="18.59765625" style="82" customWidth="1"/>
    <col min="15651" max="15662" width="6.59765625" style="82" customWidth="1"/>
    <col min="15663" max="15905" width="9" style="82"/>
    <col min="15906" max="15906" width="18.59765625" style="82" customWidth="1"/>
    <col min="15907" max="15918" width="6.59765625" style="82" customWidth="1"/>
    <col min="15919" max="16161" width="9" style="82"/>
    <col min="16162" max="16162" width="18.59765625" style="82" customWidth="1"/>
    <col min="16163" max="16174" width="6.59765625" style="82" customWidth="1"/>
    <col min="16175" max="16384" width="9" style="82"/>
  </cols>
  <sheetData>
    <row r="1" spans="1:45" ht="30" customHeight="1" thickBot="1">
      <c r="A1" s="342" t="s">
        <v>408</v>
      </c>
      <c r="B1" s="342"/>
      <c r="C1" s="342"/>
      <c r="D1" s="342"/>
      <c r="N1" s="342"/>
      <c r="O1" s="342"/>
      <c r="P1" s="342"/>
      <c r="Q1" s="342"/>
      <c r="R1" s="342"/>
      <c r="S1" s="342"/>
      <c r="T1" s="342"/>
      <c r="U1" s="342"/>
      <c r="V1" s="342"/>
      <c r="W1" s="2263" t="s">
        <v>409</v>
      </c>
      <c r="X1" s="2263"/>
      <c r="Y1" s="2263"/>
      <c r="Z1" s="188"/>
      <c r="AA1" s="188"/>
      <c r="AB1" s="188"/>
      <c r="AC1" s="188"/>
      <c r="AD1" s="188"/>
      <c r="AE1" s="188"/>
      <c r="AF1" s="188"/>
      <c r="AG1" s="188"/>
      <c r="AH1" s="188"/>
      <c r="AI1" s="188"/>
      <c r="AJ1" s="188"/>
      <c r="AK1" s="188"/>
      <c r="AL1" s="188"/>
      <c r="AM1" s="188"/>
      <c r="AN1" s="188"/>
      <c r="AR1" s="82"/>
      <c r="AS1" s="82"/>
    </row>
    <row r="2" spans="1:45" s="11" customFormat="1" ht="17.25" customHeight="1">
      <c r="A2" s="210" t="s">
        <v>410</v>
      </c>
      <c r="B2" s="2183" t="s">
        <v>311</v>
      </c>
      <c r="C2" s="2184"/>
      <c r="D2" s="2184"/>
      <c r="E2" s="2184"/>
      <c r="F2" s="2184"/>
      <c r="G2" s="2184"/>
      <c r="H2" s="2184"/>
      <c r="I2" s="2184"/>
      <c r="J2" s="2184"/>
      <c r="K2" s="2184"/>
      <c r="L2" s="2184"/>
      <c r="M2" s="2185"/>
      <c r="N2" s="2184" t="s">
        <v>316</v>
      </c>
      <c r="O2" s="2184"/>
      <c r="P2" s="2184"/>
      <c r="Q2" s="2184"/>
      <c r="R2" s="2184"/>
      <c r="S2" s="2184"/>
      <c r="T2" s="2184"/>
      <c r="U2" s="2184"/>
      <c r="V2" s="2184"/>
      <c r="W2" s="2184"/>
      <c r="X2" s="2184"/>
      <c r="Y2" s="2185"/>
    </row>
    <row r="3" spans="1:45" s="11" customFormat="1" ht="17.25" customHeight="1">
      <c r="A3" s="34"/>
      <c r="B3" s="2189" t="s">
        <v>411</v>
      </c>
      <c r="C3" s="2196"/>
      <c r="D3" s="2196"/>
      <c r="E3" s="2182"/>
      <c r="F3" s="2189" t="s">
        <v>164</v>
      </c>
      <c r="G3" s="2196"/>
      <c r="H3" s="2196"/>
      <c r="I3" s="2182"/>
      <c r="J3" s="2189" t="s">
        <v>165</v>
      </c>
      <c r="K3" s="2196"/>
      <c r="L3" s="2196"/>
      <c r="M3" s="2182"/>
      <c r="N3" s="2196" t="s">
        <v>411</v>
      </c>
      <c r="O3" s="2196"/>
      <c r="P3" s="2196"/>
      <c r="Q3" s="2182"/>
      <c r="R3" s="2189" t="s">
        <v>164</v>
      </c>
      <c r="S3" s="2196"/>
      <c r="T3" s="2196"/>
      <c r="U3" s="2182"/>
      <c r="V3" s="2189" t="s">
        <v>165</v>
      </c>
      <c r="W3" s="2196"/>
      <c r="X3" s="2196"/>
      <c r="Y3" s="2182"/>
    </row>
    <row r="4" spans="1:45" s="11" customFormat="1" ht="27.6" customHeight="1">
      <c r="A4" s="97"/>
      <c r="B4" s="2192" t="s">
        <v>25</v>
      </c>
      <c r="C4" s="2197" t="s">
        <v>412</v>
      </c>
      <c r="D4" s="2197" t="s">
        <v>413</v>
      </c>
      <c r="E4" s="2197" t="s">
        <v>414</v>
      </c>
      <c r="F4" s="2192" t="s">
        <v>25</v>
      </c>
      <c r="G4" s="2197" t="s">
        <v>412</v>
      </c>
      <c r="H4" s="2197" t="s">
        <v>413</v>
      </c>
      <c r="I4" s="2197" t="s">
        <v>414</v>
      </c>
      <c r="J4" s="2192" t="s">
        <v>25</v>
      </c>
      <c r="K4" s="2197" t="s">
        <v>412</v>
      </c>
      <c r="L4" s="2197" t="s">
        <v>413</v>
      </c>
      <c r="M4" s="2197" t="s">
        <v>414</v>
      </c>
      <c r="N4" s="2197" t="s">
        <v>415</v>
      </c>
      <c r="O4" s="2197" t="s">
        <v>412</v>
      </c>
      <c r="P4" s="2197" t="s">
        <v>413</v>
      </c>
      <c r="Q4" s="2197" t="s">
        <v>414</v>
      </c>
      <c r="R4" s="2197" t="s">
        <v>415</v>
      </c>
      <c r="S4" s="2197" t="s">
        <v>412</v>
      </c>
      <c r="T4" s="2197" t="s">
        <v>413</v>
      </c>
      <c r="U4" s="2197" t="s">
        <v>414</v>
      </c>
      <c r="V4" s="2197" t="s">
        <v>415</v>
      </c>
      <c r="W4" s="2197" t="s">
        <v>412</v>
      </c>
      <c r="X4" s="2197" t="s">
        <v>413</v>
      </c>
      <c r="Y4" s="2197" t="s">
        <v>414</v>
      </c>
    </row>
    <row r="5" spans="1:45" s="11" customFormat="1" ht="27.6" customHeight="1">
      <c r="A5" s="213" t="s">
        <v>416</v>
      </c>
      <c r="B5" s="2203"/>
      <c r="C5" s="2203"/>
      <c r="D5" s="2203"/>
      <c r="E5" s="2193"/>
      <c r="F5" s="2203"/>
      <c r="G5" s="2203"/>
      <c r="H5" s="2203"/>
      <c r="I5" s="2193"/>
      <c r="J5" s="2203"/>
      <c r="K5" s="2203"/>
      <c r="L5" s="2203"/>
      <c r="M5" s="2193"/>
      <c r="N5" s="2262"/>
      <c r="O5" s="2203"/>
      <c r="P5" s="2203"/>
      <c r="Q5" s="2193"/>
      <c r="R5" s="2262"/>
      <c r="S5" s="2203"/>
      <c r="T5" s="2203"/>
      <c r="U5" s="2193"/>
      <c r="V5" s="2262"/>
      <c r="W5" s="2203"/>
      <c r="X5" s="2203"/>
      <c r="Y5" s="2193"/>
    </row>
    <row r="6" spans="1:45" s="11" customFormat="1" ht="17.25" customHeight="1">
      <c r="A6" s="97"/>
      <c r="B6" s="98" t="s">
        <v>167</v>
      </c>
      <c r="C6" s="98" t="s">
        <v>167</v>
      </c>
      <c r="D6" s="98" t="s">
        <v>167</v>
      </c>
      <c r="E6" s="98" t="s">
        <v>167</v>
      </c>
      <c r="F6" s="98" t="s">
        <v>167</v>
      </c>
      <c r="G6" s="98" t="s">
        <v>167</v>
      </c>
      <c r="H6" s="98" t="s">
        <v>167</v>
      </c>
      <c r="I6" s="98" t="s">
        <v>167</v>
      </c>
      <c r="J6" s="98" t="s">
        <v>167</v>
      </c>
      <c r="K6" s="98" t="s">
        <v>167</v>
      </c>
      <c r="L6" s="98" t="s">
        <v>167</v>
      </c>
      <c r="M6" s="98" t="s">
        <v>167</v>
      </c>
      <c r="N6" s="98" t="s">
        <v>167</v>
      </c>
      <c r="O6" s="98" t="s">
        <v>167</v>
      </c>
      <c r="P6" s="98" t="s">
        <v>167</v>
      </c>
      <c r="Q6" s="98" t="s">
        <v>167</v>
      </c>
      <c r="R6" s="98" t="s">
        <v>167</v>
      </c>
      <c r="S6" s="98" t="s">
        <v>167</v>
      </c>
      <c r="T6" s="98" t="s">
        <v>167</v>
      </c>
      <c r="U6" s="98" t="s">
        <v>167</v>
      </c>
      <c r="V6" s="98" t="s">
        <v>167</v>
      </c>
      <c r="W6" s="98" t="s">
        <v>167</v>
      </c>
      <c r="X6" s="98" t="s">
        <v>167</v>
      </c>
      <c r="Y6" s="98" t="s">
        <v>167</v>
      </c>
    </row>
    <row r="7" spans="1:45" s="11" customFormat="1" ht="17.25" customHeight="1">
      <c r="A7" s="344" t="s">
        <v>207</v>
      </c>
      <c r="B7" s="111">
        <v>16655</v>
      </c>
      <c r="C7" s="111">
        <v>13250</v>
      </c>
      <c r="D7" s="111">
        <v>2337</v>
      </c>
      <c r="E7" s="111">
        <v>1067</v>
      </c>
      <c r="F7" s="112">
        <v>9454</v>
      </c>
      <c r="G7" s="111">
        <v>7526</v>
      </c>
      <c r="H7" s="111">
        <v>1776</v>
      </c>
      <c r="I7" s="111">
        <v>151</v>
      </c>
      <c r="J7" s="112">
        <f>SUM(K7:M7)</f>
        <v>7201</v>
      </c>
      <c r="K7" s="111">
        <v>5724</v>
      </c>
      <c r="L7" s="111">
        <v>561</v>
      </c>
      <c r="M7" s="111">
        <v>916</v>
      </c>
      <c r="N7" s="111">
        <v>14812</v>
      </c>
      <c r="O7" s="111">
        <f>11154+784</f>
        <v>11938</v>
      </c>
      <c r="P7" s="111">
        <f>352+1615+26</f>
        <v>1993</v>
      </c>
      <c r="Q7" s="111">
        <v>743</v>
      </c>
      <c r="R7" s="111">
        <v>8388</v>
      </c>
      <c r="S7" s="111">
        <f>6034+607</f>
        <v>6641</v>
      </c>
      <c r="T7" s="111">
        <f>292+1253+2</f>
        <v>1547</v>
      </c>
      <c r="U7" s="111">
        <v>107</v>
      </c>
      <c r="V7" s="111">
        <v>6424</v>
      </c>
      <c r="W7" s="111">
        <f>5120+177</f>
        <v>5297</v>
      </c>
      <c r="X7" s="111">
        <f>60+362+24</f>
        <v>446</v>
      </c>
      <c r="Y7" s="111">
        <v>636</v>
      </c>
    </row>
    <row r="8" spans="1:45" s="11" customFormat="1" ht="17.25" customHeight="1">
      <c r="A8" s="344" t="s">
        <v>381</v>
      </c>
      <c r="B8" s="111">
        <f t="shared" ref="B8:B14" si="0">SUM(C8:E8)</f>
        <v>1743</v>
      </c>
      <c r="C8" s="111">
        <v>255</v>
      </c>
      <c r="D8" s="111">
        <v>909</v>
      </c>
      <c r="E8" s="111">
        <v>579</v>
      </c>
      <c r="F8" s="112">
        <v>918</v>
      </c>
      <c r="G8" s="111">
        <v>100</v>
      </c>
      <c r="H8" s="111">
        <v>770</v>
      </c>
      <c r="I8" s="111">
        <v>48</v>
      </c>
      <c r="J8" s="112">
        <f>SUM(K8:M8)</f>
        <v>825</v>
      </c>
      <c r="K8" s="111">
        <v>155</v>
      </c>
      <c r="L8" s="111">
        <v>139</v>
      </c>
      <c r="M8" s="111">
        <v>531</v>
      </c>
      <c r="N8" s="111">
        <v>1262</v>
      </c>
      <c r="O8" s="111">
        <f>257+19</f>
        <v>276</v>
      </c>
      <c r="P8" s="111">
        <f>50+586</f>
        <v>636</v>
      </c>
      <c r="Q8" s="111">
        <v>350</v>
      </c>
      <c r="R8" s="111">
        <v>701</v>
      </c>
      <c r="S8" s="111">
        <f>141+26</f>
        <v>167</v>
      </c>
      <c r="T8" s="111">
        <f>46+510</f>
        <v>556</v>
      </c>
      <c r="U8" s="111">
        <v>43</v>
      </c>
      <c r="V8" s="111">
        <v>561</v>
      </c>
      <c r="W8" s="111">
        <f>176+5</f>
        <v>181</v>
      </c>
      <c r="X8" s="111">
        <f>4+76</f>
        <v>80</v>
      </c>
      <c r="Y8" s="111">
        <v>307</v>
      </c>
    </row>
    <row r="9" spans="1:45" s="11" customFormat="1" ht="17.25" customHeight="1">
      <c r="A9" s="344" t="s">
        <v>382</v>
      </c>
      <c r="B9" s="111">
        <f t="shared" si="0"/>
        <v>49</v>
      </c>
      <c r="C9" s="111">
        <v>37</v>
      </c>
      <c r="D9" s="111">
        <v>10</v>
      </c>
      <c r="E9" s="111">
        <v>2</v>
      </c>
      <c r="F9" s="112">
        <v>46</v>
      </c>
      <c r="G9" s="111">
        <v>35</v>
      </c>
      <c r="H9" s="111">
        <v>10</v>
      </c>
      <c r="I9" s="111">
        <v>1</v>
      </c>
      <c r="J9" s="112">
        <f>SUM(K9:M9)</f>
        <v>3</v>
      </c>
      <c r="K9" s="111">
        <v>2</v>
      </c>
      <c r="L9" s="112" t="s">
        <v>305</v>
      </c>
      <c r="M9" s="111">
        <v>1</v>
      </c>
      <c r="N9" s="111">
        <f>1354-1262</f>
        <v>92</v>
      </c>
      <c r="O9" s="111">
        <f>317-257+31-19</f>
        <v>72</v>
      </c>
      <c r="P9" s="111">
        <f>55+596-50-586</f>
        <v>15</v>
      </c>
      <c r="Q9" s="111">
        <f>355-Q8</f>
        <v>5</v>
      </c>
      <c r="R9" s="111">
        <f>783-701</f>
        <v>82</v>
      </c>
      <c r="S9" s="111">
        <f>87+15</f>
        <v>102</v>
      </c>
      <c r="T9" s="111">
        <f>51+520-T8</f>
        <v>15</v>
      </c>
      <c r="U9" s="111">
        <f>45-43</f>
        <v>2</v>
      </c>
      <c r="V9" s="111">
        <f>571-561</f>
        <v>10</v>
      </c>
      <c r="W9" s="111">
        <f>170+4</f>
        <v>174</v>
      </c>
      <c r="X9" s="111" t="s">
        <v>384</v>
      </c>
      <c r="Y9" s="111">
        <f>310-Y8</f>
        <v>3</v>
      </c>
    </row>
    <row r="10" spans="1:45" s="11" customFormat="1" ht="17.25" customHeight="1">
      <c r="A10" s="344" t="s">
        <v>383</v>
      </c>
      <c r="B10" s="111">
        <f t="shared" si="0"/>
        <v>5</v>
      </c>
      <c r="C10" s="111">
        <v>5</v>
      </c>
      <c r="D10" s="112" t="s">
        <v>305</v>
      </c>
      <c r="E10" s="112" t="s">
        <v>305</v>
      </c>
      <c r="F10" s="112">
        <v>5</v>
      </c>
      <c r="G10" s="112">
        <v>5</v>
      </c>
      <c r="H10" s="112" t="s">
        <v>305</v>
      </c>
      <c r="I10" s="112" t="s">
        <v>305</v>
      </c>
      <c r="J10" s="112" t="s">
        <v>305</v>
      </c>
      <c r="K10" s="112" t="s">
        <v>305</v>
      </c>
      <c r="L10" s="112" t="s">
        <v>305</v>
      </c>
      <c r="M10" s="112" t="s">
        <v>305</v>
      </c>
      <c r="N10" s="111">
        <v>9</v>
      </c>
      <c r="O10" s="111">
        <f>8+1</f>
        <v>9</v>
      </c>
      <c r="P10" s="111" t="s">
        <v>384</v>
      </c>
      <c r="Q10" s="111" t="s">
        <v>384</v>
      </c>
      <c r="R10" s="111">
        <v>7</v>
      </c>
      <c r="S10" s="111">
        <f>6+1</f>
        <v>7</v>
      </c>
      <c r="T10" s="111" t="s">
        <v>384</v>
      </c>
      <c r="U10" s="111" t="s">
        <v>384</v>
      </c>
      <c r="V10" s="111">
        <v>2</v>
      </c>
      <c r="W10" s="111">
        <f>2</f>
        <v>2</v>
      </c>
      <c r="X10" s="111" t="s">
        <v>384</v>
      </c>
      <c r="Y10" s="111" t="s">
        <v>384</v>
      </c>
    </row>
    <row r="11" spans="1:45" s="11" customFormat="1" ht="17.25" customHeight="1">
      <c r="A11" s="344" t="s">
        <v>417</v>
      </c>
      <c r="B11" s="111">
        <f t="shared" si="0"/>
        <v>16</v>
      </c>
      <c r="C11" s="111">
        <v>13</v>
      </c>
      <c r="D11" s="111">
        <v>2</v>
      </c>
      <c r="E11" s="112">
        <v>1</v>
      </c>
      <c r="F11" s="112">
        <v>15</v>
      </c>
      <c r="G11" s="112">
        <v>13</v>
      </c>
      <c r="H11" s="111">
        <v>2</v>
      </c>
      <c r="I11" s="112" t="s">
        <v>305</v>
      </c>
      <c r="J11" s="112">
        <f t="shared" ref="J11:J15" si="1">SUM(K11:M11)</f>
        <v>1</v>
      </c>
      <c r="K11" s="112" t="s">
        <v>305</v>
      </c>
      <c r="L11" s="112" t="s">
        <v>305</v>
      </c>
      <c r="M11" s="112">
        <v>1</v>
      </c>
      <c r="N11" s="111">
        <v>12</v>
      </c>
      <c r="O11" s="111">
        <f>10+2</f>
        <v>12</v>
      </c>
      <c r="P11" s="111" t="s">
        <v>384</v>
      </c>
      <c r="Q11" s="111" t="s">
        <v>384</v>
      </c>
      <c r="R11" s="111">
        <v>10</v>
      </c>
      <c r="S11" s="111">
        <f>8+2</f>
        <v>10</v>
      </c>
      <c r="T11" s="111" t="s">
        <v>384</v>
      </c>
      <c r="U11" s="111" t="s">
        <v>384</v>
      </c>
      <c r="V11" s="111">
        <v>2</v>
      </c>
      <c r="W11" s="111">
        <f>2</f>
        <v>2</v>
      </c>
      <c r="X11" s="111" t="s">
        <v>384</v>
      </c>
      <c r="Y11" s="111" t="s">
        <v>384</v>
      </c>
    </row>
    <row r="12" spans="1:45" s="11" customFormat="1" ht="17.25" customHeight="1">
      <c r="A12" s="344" t="s">
        <v>387</v>
      </c>
      <c r="B12" s="111">
        <f t="shared" si="0"/>
        <v>2075</v>
      </c>
      <c r="C12" s="111">
        <v>1665</v>
      </c>
      <c r="D12" s="111">
        <v>327</v>
      </c>
      <c r="E12" s="112">
        <v>83</v>
      </c>
      <c r="F12" s="112">
        <v>1785</v>
      </c>
      <c r="G12" s="112">
        <v>1424</v>
      </c>
      <c r="H12" s="111">
        <v>327</v>
      </c>
      <c r="I12" s="112">
        <v>34</v>
      </c>
      <c r="J12" s="112">
        <f t="shared" si="1"/>
        <v>290</v>
      </c>
      <c r="K12" s="112">
        <v>241</v>
      </c>
      <c r="L12" s="112" t="s">
        <v>305</v>
      </c>
      <c r="M12" s="112">
        <v>49</v>
      </c>
      <c r="N12" s="111">
        <v>1592</v>
      </c>
      <c r="O12" s="111">
        <f>1023+224</f>
        <v>1247</v>
      </c>
      <c r="P12" s="111">
        <f>69+219</f>
        <v>288</v>
      </c>
      <c r="Q12" s="111">
        <v>57</v>
      </c>
      <c r="R12" s="111">
        <v>1374</v>
      </c>
      <c r="S12" s="111">
        <f>876+189</f>
        <v>1065</v>
      </c>
      <c r="T12" s="111">
        <f>69+218</f>
        <v>287</v>
      </c>
      <c r="U12" s="111">
        <v>22</v>
      </c>
      <c r="V12" s="111">
        <v>218</v>
      </c>
      <c r="W12" s="111">
        <f>147+35</f>
        <v>182</v>
      </c>
      <c r="X12" s="111">
        <f>1</f>
        <v>1</v>
      </c>
      <c r="Y12" s="111">
        <v>35</v>
      </c>
    </row>
    <row r="13" spans="1:45" s="11" customFormat="1" ht="17.25" customHeight="1">
      <c r="A13" s="344" t="s">
        <v>388</v>
      </c>
      <c r="B13" s="111">
        <f t="shared" si="0"/>
        <v>3021</v>
      </c>
      <c r="C13" s="111">
        <v>2834</v>
      </c>
      <c r="D13" s="111">
        <v>152</v>
      </c>
      <c r="E13" s="112">
        <v>35</v>
      </c>
      <c r="F13" s="112">
        <v>1957</v>
      </c>
      <c r="G13" s="112">
        <v>1859</v>
      </c>
      <c r="H13" s="111">
        <v>94</v>
      </c>
      <c r="I13" s="112">
        <v>4</v>
      </c>
      <c r="J13" s="112">
        <f t="shared" si="1"/>
        <v>1064</v>
      </c>
      <c r="K13" s="112">
        <v>975</v>
      </c>
      <c r="L13" s="111">
        <v>58</v>
      </c>
      <c r="M13" s="112">
        <v>31</v>
      </c>
      <c r="N13" s="111">
        <v>2781</v>
      </c>
      <c r="O13" s="111">
        <f>2491+91</f>
        <v>2582</v>
      </c>
      <c r="P13" s="111">
        <f>19+139+11</f>
        <v>169</v>
      </c>
      <c r="Q13" s="111">
        <v>30</v>
      </c>
      <c r="R13" s="111">
        <v>1886</v>
      </c>
      <c r="S13" s="111">
        <f>1689+74</f>
        <v>1763</v>
      </c>
      <c r="T13" s="111">
        <f>17+105</f>
        <v>122</v>
      </c>
      <c r="U13" s="111">
        <v>1</v>
      </c>
      <c r="V13" s="111">
        <v>895</v>
      </c>
      <c r="W13" s="111">
        <f>802+17</f>
        <v>819</v>
      </c>
      <c r="X13" s="111">
        <f>2+34+11</f>
        <v>47</v>
      </c>
      <c r="Y13" s="111">
        <v>29</v>
      </c>
    </row>
    <row r="14" spans="1:45" s="11" customFormat="1" ht="17.25" customHeight="1">
      <c r="A14" s="344" t="s">
        <v>418</v>
      </c>
      <c r="B14" s="111">
        <f t="shared" si="0"/>
        <v>184</v>
      </c>
      <c r="C14" s="111">
        <v>184</v>
      </c>
      <c r="D14" s="112" t="s">
        <v>305</v>
      </c>
      <c r="E14" s="112" t="s">
        <v>305</v>
      </c>
      <c r="F14" s="112">
        <v>169</v>
      </c>
      <c r="G14" s="112">
        <v>169</v>
      </c>
      <c r="H14" s="112" t="s">
        <v>305</v>
      </c>
      <c r="I14" s="112" t="s">
        <v>305</v>
      </c>
      <c r="J14" s="112">
        <f t="shared" si="1"/>
        <v>15</v>
      </c>
      <c r="K14" s="112">
        <v>15</v>
      </c>
      <c r="L14" s="112" t="s">
        <v>305</v>
      </c>
      <c r="M14" s="112" t="s">
        <v>305</v>
      </c>
      <c r="N14" s="111">
        <v>157</v>
      </c>
      <c r="O14" s="111">
        <f>156+1</f>
        <v>157</v>
      </c>
      <c r="P14" s="111" t="s">
        <v>384</v>
      </c>
      <c r="Q14" s="111" t="s">
        <v>384</v>
      </c>
      <c r="R14" s="111">
        <v>136</v>
      </c>
      <c r="S14" s="111">
        <f>135+1</f>
        <v>136</v>
      </c>
      <c r="T14" s="111" t="s">
        <v>384</v>
      </c>
      <c r="U14" s="111" t="s">
        <v>384</v>
      </c>
      <c r="V14" s="111">
        <v>21</v>
      </c>
      <c r="W14" s="111">
        <f>21</f>
        <v>21</v>
      </c>
      <c r="X14" s="111" t="s">
        <v>384</v>
      </c>
      <c r="Y14" s="111" t="s">
        <v>384</v>
      </c>
    </row>
    <row r="15" spans="1:45" s="11" customFormat="1" ht="17.25" customHeight="1">
      <c r="A15" s="344" t="s">
        <v>391</v>
      </c>
      <c r="B15" s="2249">
        <v>783</v>
      </c>
      <c r="C15" s="2249">
        <v>740</v>
      </c>
      <c r="D15" s="2249">
        <v>40</v>
      </c>
      <c r="E15" s="2249">
        <v>2</v>
      </c>
      <c r="F15" s="2249">
        <v>635</v>
      </c>
      <c r="G15" s="2249">
        <v>596</v>
      </c>
      <c r="H15" s="2249">
        <v>38</v>
      </c>
      <c r="I15" s="2249" t="s">
        <v>305</v>
      </c>
      <c r="J15" s="2249">
        <f t="shared" si="1"/>
        <v>148</v>
      </c>
      <c r="K15" s="2249">
        <v>144</v>
      </c>
      <c r="L15" s="2249">
        <v>2</v>
      </c>
      <c r="M15" s="2249">
        <v>2</v>
      </c>
      <c r="N15" s="111">
        <v>105</v>
      </c>
      <c r="O15" s="111">
        <f>83+10</f>
        <v>93</v>
      </c>
      <c r="P15" s="111">
        <f>1+9+0</f>
        <v>10</v>
      </c>
      <c r="Q15" s="111">
        <v>2</v>
      </c>
      <c r="R15" s="111">
        <v>67</v>
      </c>
      <c r="S15" s="111">
        <f>48+9</f>
        <v>57</v>
      </c>
      <c r="T15" s="111">
        <f>1+9</f>
        <v>10</v>
      </c>
      <c r="U15" s="111" t="s">
        <v>384</v>
      </c>
      <c r="V15" s="111">
        <v>38</v>
      </c>
      <c r="W15" s="111">
        <f>35+1</f>
        <v>36</v>
      </c>
      <c r="X15" s="111" t="s">
        <v>384</v>
      </c>
      <c r="Y15" s="111">
        <v>2</v>
      </c>
    </row>
    <row r="16" spans="1:45" s="11" customFormat="1" ht="17.25" customHeight="1">
      <c r="A16" s="344" t="s">
        <v>419</v>
      </c>
      <c r="B16" s="2249"/>
      <c r="C16" s="2249"/>
      <c r="D16" s="2249"/>
      <c r="E16" s="2249"/>
      <c r="F16" s="2249"/>
      <c r="G16" s="2249"/>
      <c r="H16" s="2249"/>
      <c r="I16" s="2249"/>
      <c r="J16" s="2249"/>
      <c r="K16" s="2249"/>
      <c r="L16" s="2249"/>
      <c r="M16" s="2249"/>
      <c r="N16" s="111">
        <v>701</v>
      </c>
      <c r="O16" s="111">
        <f>639+36</f>
        <v>675</v>
      </c>
      <c r="P16" s="111">
        <f>2+23+0</f>
        <v>25</v>
      </c>
      <c r="Q16" s="111">
        <v>1</v>
      </c>
      <c r="R16" s="111">
        <v>588</v>
      </c>
      <c r="S16" s="111">
        <f>535+31</f>
        <v>566</v>
      </c>
      <c r="T16" s="111">
        <f>2+20</f>
        <v>22</v>
      </c>
      <c r="U16" s="111" t="s">
        <v>384</v>
      </c>
      <c r="V16" s="111">
        <v>113</v>
      </c>
      <c r="W16" s="111">
        <f>104+5</f>
        <v>109</v>
      </c>
      <c r="X16" s="111">
        <v>3</v>
      </c>
      <c r="Y16" s="111">
        <v>1</v>
      </c>
    </row>
    <row r="17" spans="1:46" s="11" customFormat="1" ht="17.25" customHeight="1">
      <c r="A17" s="344" t="s">
        <v>420</v>
      </c>
      <c r="B17" s="111">
        <f>SUM(C17:E17)</f>
        <v>2347</v>
      </c>
      <c r="C17" s="111">
        <v>1995</v>
      </c>
      <c r="D17" s="111">
        <v>234</v>
      </c>
      <c r="E17" s="111">
        <v>118</v>
      </c>
      <c r="F17" s="112">
        <v>1029</v>
      </c>
      <c r="G17" s="112">
        <v>862</v>
      </c>
      <c r="H17" s="111">
        <v>144</v>
      </c>
      <c r="I17" s="112">
        <v>23</v>
      </c>
      <c r="J17" s="112">
        <f>SUM(K17:M17)</f>
        <v>1318</v>
      </c>
      <c r="K17" s="112">
        <v>1133</v>
      </c>
      <c r="L17" s="111">
        <v>90</v>
      </c>
      <c r="M17" s="112">
        <v>95</v>
      </c>
      <c r="N17" s="111">
        <v>1902</v>
      </c>
      <c r="O17" s="111">
        <f>1472+177</f>
        <v>1649</v>
      </c>
      <c r="P17" s="111">
        <f>37+134</f>
        <v>171</v>
      </c>
      <c r="Q17" s="111">
        <v>82</v>
      </c>
      <c r="R17" s="111">
        <v>859</v>
      </c>
      <c r="S17" s="111">
        <f>603+124</f>
        <v>727</v>
      </c>
      <c r="T17" s="111">
        <f>30+89</f>
        <v>119</v>
      </c>
      <c r="U17" s="111">
        <v>13</v>
      </c>
      <c r="V17" s="111">
        <v>1043</v>
      </c>
      <c r="W17" s="111">
        <f>869+53</f>
        <v>922</v>
      </c>
      <c r="X17" s="111">
        <f>7+45</f>
        <v>52</v>
      </c>
      <c r="Y17" s="111">
        <v>69</v>
      </c>
    </row>
    <row r="18" spans="1:46" s="11" customFormat="1" ht="17.25" customHeight="1">
      <c r="A18" s="344" t="s">
        <v>421</v>
      </c>
      <c r="B18" s="111">
        <f>SUM(C18:E18)</f>
        <v>215</v>
      </c>
      <c r="C18" s="111">
        <v>207</v>
      </c>
      <c r="D18" s="111">
        <v>8</v>
      </c>
      <c r="E18" s="112" t="s">
        <v>305</v>
      </c>
      <c r="F18" s="112">
        <v>88</v>
      </c>
      <c r="G18" s="112">
        <v>83</v>
      </c>
      <c r="H18" s="111">
        <v>5</v>
      </c>
      <c r="I18" s="112" t="s">
        <v>305</v>
      </c>
      <c r="J18" s="112">
        <f>SUM(K18:M18)</f>
        <v>127</v>
      </c>
      <c r="K18" s="112">
        <v>124</v>
      </c>
      <c r="L18" s="111">
        <v>3</v>
      </c>
      <c r="M18" s="112" t="s">
        <v>305</v>
      </c>
      <c r="N18" s="111">
        <v>205</v>
      </c>
      <c r="O18" s="111">
        <f>189+7</f>
        <v>196</v>
      </c>
      <c r="P18" s="111">
        <f>1+6</f>
        <v>7</v>
      </c>
      <c r="Q18" s="111">
        <v>2</v>
      </c>
      <c r="R18" s="111">
        <v>75</v>
      </c>
      <c r="S18" s="111">
        <f>65+5</f>
        <v>70</v>
      </c>
      <c r="T18" s="111">
        <f>5</f>
        <v>5</v>
      </c>
      <c r="U18" s="111" t="s">
        <v>384</v>
      </c>
      <c r="V18" s="111">
        <v>130</v>
      </c>
      <c r="W18" s="111">
        <f>124+2</f>
        <v>126</v>
      </c>
      <c r="X18" s="111">
        <f>1+1</f>
        <v>2</v>
      </c>
      <c r="Y18" s="111">
        <v>2</v>
      </c>
    </row>
    <row r="19" spans="1:46" s="11" customFormat="1" ht="17.25" customHeight="1">
      <c r="A19" s="344" t="s">
        <v>422</v>
      </c>
      <c r="B19" s="111">
        <f>SUM(C19:E19)</f>
        <v>54</v>
      </c>
      <c r="C19" s="111">
        <v>46</v>
      </c>
      <c r="D19" s="111">
        <v>8</v>
      </c>
      <c r="E19" s="112" t="s">
        <v>305</v>
      </c>
      <c r="F19" s="112">
        <v>32</v>
      </c>
      <c r="G19" s="112">
        <v>29</v>
      </c>
      <c r="H19" s="111">
        <v>3</v>
      </c>
      <c r="I19" s="112" t="s">
        <v>305</v>
      </c>
      <c r="J19" s="112">
        <f>SUM(K19:M19)</f>
        <v>22</v>
      </c>
      <c r="K19" s="112">
        <v>17</v>
      </c>
      <c r="L19" s="111">
        <v>5</v>
      </c>
      <c r="M19" s="112" t="s">
        <v>305</v>
      </c>
      <c r="N19" s="111">
        <v>129</v>
      </c>
      <c r="O19" s="111">
        <f>89+21</f>
        <v>110</v>
      </c>
      <c r="P19" s="111">
        <f>1+16</f>
        <v>17</v>
      </c>
      <c r="Q19" s="111">
        <v>2</v>
      </c>
      <c r="R19" s="111">
        <v>88</v>
      </c>
      <c r="S19" s="111">
        <f>60+14</f>
        <v>74</v>
      </c>
      <c r="T19" s="111">
        <f>1+13</f>
        <v>14</v>
      </c>
      <c r="U19" s="111" t="s">
        <v>384</v>
      </c>
      <c r="V19" s="111">
        <v>41</v>
      </c>
      <c r="W19" s="111">
        <f>29+7</f>
        <v>36</v>
      </c>
      <c r="X19" s="111">
        <f>3</f>
        <v>3</v>
      </c>
      <c r="Y19" s="111">
        <v>2</v>
      </c>
    </row>
    <row r="20" spans="1:46" s="11" customFormat="1" ht="17.25" customHeight="1">
      <c r="A20" s="344" t="s">
        <v>423</v>
      </c>
      <c r="B20" s="112" t="s">
        <v>305</v>
      </c>
      <c r="C20" s="112" t="s">
        <v>305</v>
      </c>
      <c r="D20" s="112" t="s">
        <v>305</v>
      </c>
      <c r="E20" s="112" t="s">
        <v>305</v>
      </c>
      <c r="F20" s="112" t="s">
        <v>305</v>
      </c>
      <c r="G20" s="112" t="s">
        <v>305</v>
      </c>
      <c r="H20" s="112" t="s">
        <v>305</v>
      </c>
      <c r="I20" s="112" t="s">
        <v>305</v>
      </c>
      <c r="J20" s="112" t="s">
        <v>305</v>
      </c>
      <c r="K20" s="112" t="s">
        <v>305</v>
      </c>
      <c r="L20" s="112" t="s">
        <v>305</v>
      </c>
      <c r="M20" s="112" t="s">
        <v>305</v>
      </c>
      <c r="N20" s="111">
        <v>278</v>
      </c>
      <c r="O20" s="111">
        <f>167+18</f>
        <v>185</v>
      </c>
      <c r="P20" s="111">
        <f>17+56</f>
        <v>73</v>
      </c>
      <c r="Q20" s="111">
        <v>20</v>
      </c>
      <c r="R20" s="111">
        <v>191</v>
      </c>
      <c r="S20" s="111">
        <f>109+15</f>
        <v>124</v>
      </c>
      <c r="T20" s="111">
        <f>15+50</f>
        <v>65</v>
      </c>
      <c r="U20" s="111">
        <v>2</v>
      </c>
      <c r="V20" s="111">
        <v>87</v>
      </c>
      <c r="W20" s="111">
        <f>58+3</f>
        <v>61</v>
      </c>
      <c r="X20" s="111">
        <f>2+6</f>
        <v>8</v>
      </c>
      <c r="Y20" s="111">
        <v>18</v>
      </c>
    </row>
    <row r="21" spans="1:46" s="11" customFormat="1" ht="17.25" customHeight="1">
      <c r="A21" s="344" t="s">
        <v>424</v>
      </c>
      <c r="B21" s="111">
        <f>SUM(C21:E21)</f>
        <v>1353</v>
      </c>
      <c r="C21" s="111">
        <v>1011</v>
      </c>
      <c r="D21" s="111">
        <v>209</v>
      </c>
      <c r="E21" s="112">
        <v>133</v>
      </c>
      <c r="F21" s="112">
        <v>512</v>
      </c>
      <c r="G21" s="112">
        <v>373</v>
      </c>
      <c r="H21" s="111">
        <v>119</v>
      </c>
      <c r="I21" s="112">
        <v>20</v>
      </c>
      <c r="J21" s="112">
        <f>SUM(K21:M21)</f>
        <v>841</v>
      </c>
      <c r="K21" s="112">
        <v>638</v>
      </c>
      <c r="L21" s="111">
        <v>90</v>
      </c>
      <c r="M21" s="112">
        <v>113</v>
      </c>
      <c r="N21" s="111">
        <v>1257</v>
      </c>
      <c r="O21" s="111">
        <f>882+59</f>
        <v>941</v>
      </c>
      <c r="P21" s="111">
        <f>75+124</f>
        <v>199</v>
      </c>
      <c r="Q21" s="111">
        <v>117</v>
      </c>
      <c r="R21" s="111">
        <v>482</v>
      </c>
      <c r="S21" s="111">
        <f>308+35</f>
        <v>343</v>
      </c>
      <c r="T21" s="111">
        <f>55+71</f>
        <v>126</v>
      </c>
      <c r="U21" s="111">
        <v>13</v>
      </c>
      <c r="V21" s="111">
        <v>775</v>
      </c>
      <c r="W21" s="111">
        <f>574+24</f>
        <v>598</v>
      </c>
      <c r="X21" s="111">
        <f>20+53</f>
        <v>73</v>
      </c>
      <c r="Y21" s="111">
        <v>104</v>
      </c>
    </row>
    <row r="22" spans="1:46" s="11" customFormat="1" ht="17.25" customHeight="1">
      <c r="A22" s="344" t="s">
        <v>425</v>
      </c>
      <c r="B22" s="112" t="s">
        <v>305</v>
      </c>
      <c r="C22" s="112" t="s">
        <v>305</v>
      </c>
      <c r="D22" s="112" t="s">
        <v>305</v>
      </c>
      <c r="E22" s="112" t="s">
        <v>305</v>
      </c>
      <c r="F22" s="112" t="s">
        <v>305</v>
      </c>
      <c r="G22" s="112" t="s">
        <v>305</v>
      </c>
      <c r="H22" s="112" t="s">
        <v>305</v>
      </c>
      <c r="I22" s="112" t="s">
        <v>305</v>
      </c>
      <c r="J22" s="112" t="s">
        <v>305</v>
      </c>
      <c r="K22" s="112" t="s">
        <v>305</v>
      </c>
      <c r="L22" s="112" t="s">
        <v>305</v>
      </c>
      <c r="M22" s="112" t="s">
        <v>305</v>
      </c>
      <c r="N22" s="111">
        <v>577</v>
      </c>
      <c r="O22" s="111">
        <f>413+36</f>
        <v>449</v>
      </c>
      <c r="P22" s="111">
        <f>21+74+1</f>
        <v>96</v>
      </c>
      <c r="Q22" s="111">
        <v>32</v>
      </c>
      <c r="R22" s="111">
        <v>202</v>
      </c>
      <c r="S22" s="111">
        <f>139+22</f>
        <v>161</v>
      </c>
      <c r="T22" s="111">
        <f>9+26</f>
        <v>35</v>
      </c>
      <c r="U22" s="111">
        <v>6</v>
      </c>
      <c r="V22" s="111">
        <v>375</v>
      </c>
      <c r="W22" s="111">
        <f>274+14</f>
        <v>288</v>
      </c>
      <c r="X22" s="111">
        <f>12+48+1</f>
        <v>61</v>
      </c>
      <c r="Y22" s="111">
        <v>26</v>
      </c>
    </row>
    <row r="23" spans="1:46" s="11" customFormat="1" ht="17.25" customHeight="1">
      <c r="A23" s="344" t="s">
        <v>426</v>
      </c>
      <c r="B23" s="2249">
        <v>4134</v>
      </c>
      <c r="C23" s="2249">
        <v>3587</v>
      </c>
      <c r="D23" s="2249">
        <v>435</v>
      </c>
      <c r="E23" s="2249">
        <v>112</v>
      </c>
      <c r="F23" s="2249">
        <v>1788</v>
      </c>
      <c r="G23" s="2249">
        <v>1504</v>
      </c>
      <c r="H23" s="2249">
        <v>263</v>
      </c>
      <c r="I23" s="2249">
        <v>21</v>
      </c>
      <c r="J23" s="2249">
        <v>2346</v>
      </c>
      <c r="K23" s="2249">
        <v>2083</v>
      </c>
      <c r="L23" s="2249">
        <v>172</v>
      </c>
      <c r="M23" s="2249">
        <v>91</v>
      </c>
      <c r="N23" s="111">
        <v>503</v>
      </c>
      <c r="O23" s="111">
        <f>449+3</f>
        <v>452</v>
      </c>
      <c r="P23" s="111">
        <f>5+42</f>
        <v>47</v>
      </c>
      <c r="Q23" s="111">
        <v>4</v>
      </c>
      <c r="R23" s="111">
        <v>241</v>
      </c>
      <c r="S23" s="111">
        <f>229+3</f>
        <v>232</v>
      </c>
      <c r="T23" s="111">
        <f>1+8</f>
        <v>9</v>
      </c>
      <c r="U23" s="111" t="s">
        <v>384</v>
      </c>
      <c r="V23" s="111">
        <v>262</v>
      </c>
      <c r="W23" s="111">
        <f>220</f>
        <v>220</v>
      </c>
      <c r="X23" s="111">
        <f>4+34</f>
        <v>38</v>
      </c>
      <c r="Y23" s="111">
        <v>4</v>
      </c>
    </row>
    <row r="24" spans="1:46" s="11" customFormat="1" ht="17.25" customHeight="1">
      <c r="A24" s="344" t="s">
        <v>427</v>
      </c>
      <c r="B24" s="2249"/>
      <c r="C24" s="2249"/>
      <c r="D24" s="2249"/>
      <c r="E24" s="2249"/>
      <c r="F24" s="2249"/>
      <c r="G24" s="2249"/>
      <c r="H24" s="2249"/>
      <c r="I24" s="2249"/>
      <c r="J24" s="2249"/>
      <c r="K24" s="2249"/>
      <c r="L24" s="2249"/>
      <c r="M24" s="2249"/>
      <c r="N24" s="111">
        <v>1587</v>
      </c>
      <c r="O24" s="111">
        <f>1485+12</f>
        <v>1497</v>
      </c>
      <c r="P24" s="111">
        <f>34+27</f>
        <v>61</v>
      </c>
      <c r="Q24" s="111">
        <v>29</v>
      </c>
      <c r="R24" s="111">
        <v>327</v>
      </c>
      <c r="S24" s="111">
        <f>269+8</f>
        <v>277</v>
      </c>
      <c r="T24" s="111">
        <f>28+18</f>
        <v>46</v>
      </c>
      <c r="U24" s="111">
        <v>4</v>
      </c>
      <c r="V24" s="111">
        <v>1260</v>
      </c>
      <c r="W24" s="111">
        <f>1216+4</f>
        <v>1220</v>
      </c>
      <c r="X24" s="111">
        <f>6+9</f>
        <v>15</v>
      </c>
      <c r="Y24" s="111">
        <v>25</v>
      </c>
    </row>
    <row r="25" spans="1:46" s="11" customFormat="1" ht="17.25" customHeight="1">
      <c r="A25" s="344" t="s">
        <v>428</v>
      </c>
      <c r="B25" s="2249"/>
      <c r="C25" s="2249"/>
      <c r="D25" s="2249"/>
      <c r="E25" s="2249"/>
      <c r="F25" s="2249"/>
      <c r="G25" s="2249"/>
      <c r="H25" s="2249"/>
      <c r="I25" s="2249"/>
      <c r="J25" s="2249"/>
      <c r="K25" s="2249"/>
      <c r="L25" s="2249"/>
      <c r="M25" s="2249"/>
      <c r="N25" s="111">
        <v>213</v>
      </c>
      <c r="O25" s="111">
        <f>207+2</f>
        <v>209</v>
      </c>
      <c r="P25" s="111">
        <f>2+1</f>
        <v>3</v>
      </c>
      <c r="Q25" s="111">
        <v>1</v>
      </c>
      <c r="R25" s="111">
        <v>106</v>
      </c>
      <c r="S25" s="111">
        <f>102+2</f>
        <v>104</v>
      </c>
      <c r="T25" s="111">
        <f>1+1</f>
        <v>2</v>
      </c>
      <c r="U25" s="111" t="s">
        <v>384</v>
      </c>
      <c r="V25" s="111">
        <v>107</v>
      </c>
      <c r="W25" s="111">
        <f>105</f>
        <v>105</v>
      </c>
      <c r="X25" s="111">
        <f>1</f>
        <v>1</v>
      </c>
      <c r="Y25" s="111">
        <v>1</v>
      </c>
    </row>
    <row r="26" spans="1:46" s="11" customFormat="1" ht="17.25" customHeight="1">
      <c r="A26" s="344" t="s">
        <v>429</v>
      </c>
      <c r="B26" s="2249"/>
      <c r="C26" s="2249"/>
      <c r="D26" s="2249"/>
      <c r="E26" s="2249"/>
      <c r="F26" s="2249"/>
      <c r="G26" s="2249"/>
      <c r="H26" s="2249"/>
      <c r="I26" s="2249"/>
      <c r="J26" s="2249"/>
      <c r="K26" s="2249"/>
      <c r="L26" s="2249"/>
      <c r="M26" s="2249"/>
      <c r="N26" s="111">
        <v>701</v>
      </c>
      <c r="O26" s="111">
        <f>480+52</f>
        <v>532</v>
      </c>
      <c r="P26" s="111">
        <f>12+137+14</f>
        <v>163</v>
      </c>
      <c r="Q26" s="111">
        <v>6</v>
      </c>
      <c r="R26" s="111">
        <v>438</v>
      </c>
      <c r="S26" s="111">
        <f>290+45</f>
        <v>335</v>
      </c>
      <c r="T26" s="111">
        <f>11+89</f>
        <v>100</v>
      </c>
      <c r="U26" s="111">
        <v>1</v>
      </c>
      <c r="V26" s="111">
        <v>263</v>
      </c>
      <c r="W26" s="111">
        <f>190+7</f>
        <v>197</v>
      </c>
      <c r="X26" s="111">
        <f>1+48+12</f>
        <v>61</v>
      </c>
      <c r="Y26" s="111">
        <v>5</v>
      </c>
    </row>
    <row r="27" spans="1:46" s="11" customFormat="1" ht="17.25" customHeight="1" thickBot="1">
      <c r="A27" s="345" t="s">
        <v>430</v>
      </c>
      <c r="B27" s="119">
        <f>SUM(C27:E27)</f>
        <v>577</v>
      </c>
      <c r="C27" s="119">
        <v>577</v>
      </c>
      <c r="D27" s="120" t="s">
        <v>431</v>
      </c>
      <c r="E27" s="120" t="s">
        <v>431</v>
      </c>
      <c r="F27" s="120">
        <v>422</v>
      </c>
      <c r="G27" s="120">
        <v>422</v>
      </c>
      <c r="H27" s="112" t="s">
        <v>431</v>
      </c>
      <c r="I27" s="112" t="s">
        <v>431</v>
      </c>
      <c r="J27" s="112">
        <f>SUM(K27:M27)</f>
        <v>155</v>
      </c>
      <c r="K27" s="112">
        <v>155</v>
      </c>
      <c r="L27" s="112" t="s">
        <v>305</v>
      </c>
      <c r="M27" s="112" t="s">
        <v>305</v>
      </c>
      <c r="N27" s="119">
        <v>544</v>
      </c>
      <c r="O27" s="120">
        <f>544</f>
        <v>544</v>
      </c>
      <c r="P27" s="120" t="s">
        <v>384</v>
      </c>
      <c r="Q27" s="120" t="s">
        <v>384</v>
      </c>
      <c r="R27" s="120">
        <v>399</v>
      </c>
      <c r="S27" s="120">
        <f>399</f>
        <v>399</v>
      </c>
      <c r="T27" s="120" t="s">
        <v>384</v>
      </c>
      <c r="U27" s="346" t="s">
        <v>384</v>
      </c>
      <c r="V27" s="120">
        <v>145</v>
      </c>
      <c r="W27" s="120">
        <f>145</f>
        <v>145</v>
      </c>
      <c r="X27" s="120" t="s">
        <v>384</v>
      </c>
      <c r="Y27" s="120" t="s">
        <v>384</v>
      </c>
    </row>
    <row r="28" spans="1:46" s="11" customFormat="1" ht="17.25" customHeight="1" thickBot="1">
      <c r="A28" s="345" t="s">
        <v>432</v>
      </c>
      <c r="B28" s="119">
        <f>SUM(C28:E28)</f>
        <v>99</v>
      </c>
      <c r="C28" s="119">
        <v>94</v>
      </c>
      <c r="D28" s="120">
        <v>3</v>
      </c>
      <c r="E28" s="120">
        <v>2</v>
      </c>
      <c r="F28" s="120">
        <v>53</v>
      </c>
      <c r="G28" s="120">
        <v>52</v>
      </c>
      <c r="H28" s="347">
        <v>1</v>
      </c>
      <c r="I28" s="347" t="s">
        <v>431</v>
      </c>
      <c r="J28" s="347">
        <f>SUM(K28:M28)</f>
        <v>46</v>
      </c>
      <c r="K28" s="347">
        <v>42</v>
      </c>
      <c r="L28" s="347">
        <v>2</v>
      </c>
      <c r="M28" s="347">
        <v>2</v>
      </c>
      <c r="N28" s="119">
        <v>205</v>
      </c>
      <c r="O28" s="120">
        <f>50+1</f>
        <v>51</v>
      </c>
      <c r="P28" s="120">
        <f>1+12</f>
        <v>13</v>
      </c>
      <c r="Q28" s="120">
        <v>3</v>
      </c>
      <c r="R28" s="120">
        <v>129</v>
      </c>
      <c r="S28" s="120">
        <f>23+1</f>
        <v>24</v>
      </c>
      <c r="T28" s="120">
        <f>1+11</f>
        <v>12</v>
      </c>
      <c r="U28" s="346" t="s">
        <v>384</v>
      </c>
      <c r="V28" s="120">
        <v>76</v>
      </c>
      <c r="W28" s="120">
        <f>27</f>
        <v>27</v>
      </c>
      <c r="X28" s="120">
        <v>1</v>
      </c>
      <c r="Y28" s="120">
        <v>3</v>
      </c>
    </row>
    <row r="29" spans="1:46" s="11" customFormat="1" ht="17.25" customHeight="1">
      <c r="A29" s="187" t="s">
        <v>433</v>
      </c>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82"/>
      <c r="AS29" s="82"/>
      <c r="AT29" s="82"/>
    </row>
    <row r="30" spans="1:46" ht="17.25" customHeight="1">
      <c r="A30" s="29" t="s">
        <v>434</v>
      </c>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11"/>
    </row>
    <row r="31" spans="1:46" ht="17.25" customHeight="1" thickBot="1">
      <c r="A31" s="29"/>
      <c r="AL31" s="348"/>
    </row>
    <row r="32" spans="1:46" ht="17.25" customHeight="1">
      <c r="A32" s="210" t="s">
        <v>410</v>
      </c>
      <c r="B32" s="2183" t="s">
        <v>319</v>
      </c>
      <c r="C32" s="2184"/>
      <c r="D32" s="2184"/>
      <c r="E32" s="2184"/>
      <c r="F32" s="2184"/>
      <c r="G32" s="2184"/>
      <c r="H32" s="2184"/>
      <c r="I32" s="2184"/>
      <c r="J32" s="2184"/>
      <c r="K32" s="2184"/>
      <c r="L32" s="2184"/>
      <c r="M32" s="2185"/>
      <c r="N32" s="2183" t="s">
        <v>43</v>
      </c>
      <c r="O32" s="2184"/>
      <c r="P32" s="2184"/>
      <c r="Q32" s="2184"/>
      <c r="R32" s="2184"/>
      <c r="S32" s="2184"/>
      <c r="T32" s="2184"/>
      <c r="U32" s="2184"/>
      <c r="V32" s="2184"/>
      <c r="W32" s="2184"/>
      <c r="X32" s="2184"/>
      <c r="Y32" s="2185"/>
    </row>
    <row r="33" spans="1:42" ht="17.25" customHeight="1">
      <c r="A33" s="34"/>
      <c r="B33" s="2189" t="s">
        <v>411</v>
      </c>
      <c r="C33" s="2196"/>
      <c r="D33" s="2196"/>
      <c r="E33" s="2182"/>
      <c r="F33" s="2189" t="s">
        <v>164</v>
      </c>
      <c r="G33" s="2196"/>
      <c r="H33" s="2196"/>
      <c r="I33" s="2182"/>
      <c r="J33" s="2189" t="s">
        <v>165</v>
      </c>
      <c r="K33" s="2196"/>
      <c r="L33" s="2196"/>
      <c r="M33" s="2182"/>
      <c r="N33" s="2189" t="s">
        <v>411</v>
      </c>
      <c r="O33" s="2196"/>
      <c r="P33" s="2196"/>
      <c r="Q33" s="2182"/>
      <c r="R33" s="2189" t="s">
        <v>164</v>
      </c>
      <c r="S33" s="2196"/>
      <c r="T33" s="2196"/>
      <c r="U33" s="2182"/>
      <c r="V33" s="2189" t="s">
        <v>165</v>
      </c>
      <c r="W33" s="2196"/>
      <c r="X33" s="2196"/>
      <c r="Y33" s="2182"/>
      <c r="AP33" s="348"/>
    </row>
    <row r="34" spans="1:42" ht="22.2" customHeight="1">
      <c r="A34" s="97"/>
      <c r="B34" s="2197" t="s">
        <v>25</v>
      </c>
      <c r="C34" s="2197" t="s">
        <v>435</v>
      </c>
      <c r="D34" s="2197" t="s">
        <v>436</v>
      </c>
      <c r="E34" s="2197" t="s">
        <v>437</v>
      </c>
      <c r="F34" s="2197" t="s">
        <v>25</v>
      </c>
      <c r="G34" s="2197" t="s">
        <v>412</v>
      </c>
      <c r="H34" s="2197" t="s">
        <v>436</v>
      </c>
      <c r="I34" s="2197" t="s">
        <v>437</v>
      </c>
      <c r="J34" s="2197" t="s">
        <v>25</v>
      </c>
      <c r="K34" s="2197" t="s">
        <v>412</v>
      </c>
      <c r="L34" s="2197" t="s">
        <v>436</v>
      </c>
      <c r="M34" s="2194" t="s">
        <v>437</v>
      </c>
      <c r="N34" s="2197" t="s">
        <v>25</v>
      </c>
      <c r="O34" s="2197" t="s">
        <v>435</v>
      </c>
      <c r="P34" s="2197" t="s">
        <v>436</v>
      </c>
      <c r="Q34" s="2197" t="s">
        <v>437</v>
      </c>
      <c r="R34" s="2197" t="s">
        <v>25</v>
      </c>
      <c r="S34" s="2197" t="s">
        <v>412</v>
      </c>
      <c r="T34" s="2197" t="s">
        <v>436</v>
      </c>
      <c r="U34" s="2197" t="s">
        <v>437</v>
      </c>
      <c r="V34" s="2197" t="s">
        <v>25</v>
      </c>
      <c r="W34" s="2197" t="s">
        <v>412</v>
      </c>
      <c r="X34" s="2197" t="s">
        <v>436</v>
      </c>
      <c r="Y34" s="2197" t="s">
        <v>437</v>
      </c>
    </row>
    <row r="35" spans="1:42" ht="22.2" customHeight="1">
      <c r="A35" s="213" t="s">
        <v>416</v>
      </c>
      <c r="B35" s="2262"/>
      <c r="C35" s="2203"/>
      <c r="D35" s="2203"/>
      <c r="E35" s="2193"/>
      <c r="F35" s="2262"/>
      <c r="G35" s="2203"/>
      <c r="H35" s="2203"/>
      <c r="I35" s="2193"/>
      <c r="J35" s="2262"/>
      <c r="K35" s="2203"/>
      <c r="L35" s="2203"/>
      <c r="M35" s="2189"/>
      <c r="N35" s="2262"/>
      <c r="O35" s="2203"/>
      <c r="P35" s="2203"/>
      <c r="Q35" s="2193"/>
      <c r="R35" s="2262"/>
      <c r="S35" s="2203"/>
      <c r="T35" s="2203"/>
      <c r="U35" s="2193"/>
      <c r="V35" s="2262"/>
      <c r="W35" s="2203"/>
      <c r="X35" s="2203"/>
      <c r="Y35" s="2193"/>
    </row>
    <row r="36" spans="1:42" ht="17.25" customHeight="1">
      <c r="A36" s="97"/>
      <c r="B36" s="86" t="s">
        <v>167</v>
      </c>
      <c r="C36" s="86" t="s">
        <v>167</v>
      </c>
      <c r="D36" s="86" t="s">
        <v>167</v>
      </c>
      <c r="E36" s="86" t="s">
        <v>167</v>
      </c>
      <c r="F36" s="86" t="s">
        <v>167</v>
      </c>
      <c r="G36" s="86" t="s">
        <v>167</v>
      </c>
      <c r="H36" s="86" t="s">
        <v>167</v>
      </c>
      <c r="I36" s="86" t="s">
        <v>167</v>
      </c>
      <c r="J36" s="86" t="s">
        <v>167</v>
      </c>
      <c r="K36" s="86" t="s">
        <v>167</v>
      </c>
      <c r="L36" s="86" t="s">
        <v>167</v>
      </c>
      <c r="M36" s="39" t="s">
        <v>167</v>
      </c>
      <c r="N36" s="86" t="s">
        <v>167</v>
      </c>
      <c r="O36" s="86" t="s">
        <v>167</v>
      </c>
      <c r="P36" s="86" t="s">
        <v>167</v>
      </c>
      <c r="Q36" s="86" t="s">
        <v>167</v>
      </c>
      <c r="R36" s="86" t="s">
        <v>167</v>
      </c>
      <c r="S36" s="86" t="s">
        <v>167</v>
      </c>
      <c r="T36" s="86" t="s">
        <v>167</v>
      </c>
      <c r="U36" s="86" t="s">
        <v>167</v>
      </c>
      <c r="V36" s="86" t="s">
        <v>167</v>
      </c>
      <c r="W36" s="86" t="s">
        <v>167</v>
      </c>
      <c r="X36" s="86" t="s">
        <v>167</v>
      </c>
      <c r="Y36" s="86" t="s">
        <v>167</v>
      </c>
    </row>
    <row r="37" spans="1:42" ht="17.25" customHeight="1">
      <c r="A37" s="344" t="s">
        <v>207</v>
      </c>
      <c r="B37" s="111">
        <v>14018</v>
      </c>
      <c r="C37" s="111">
        <v>11420</v>
      </c>
      <c r="D37" s="111">
        <v>1808</v>
      </c>
      <c r="E37" s="111">
        <v>633</v>
      </c>
      <c r="F37" s="111">
        <v>7818</v>
      </c>
      <c r="G37" s="111">
        <v>6247</v>
      </c>
      <c r="H37" s="111">
        <v>1402</v>
      </c>
      <c r="I37" s="111">
        <v>89</v>
      </c>
      <c r="J37" s="111">
        <v>6200</v>
      </c>
      <c r="K37" s="111">
        <v>5173</v>
      </c>
      <c r="L37" s="111">
        <v>406</v>
      </c>
      <c r="M37" s="349">
        <v>544</v>
      </c>
      <c r="N37" s="321">
        <v>14018</v>
      </c>
      <c r="O37" s="321">
        <v>11420</v>
      </c>
      <c r="P37" s="321">
        <v>1808</v>
      </c>
      <c r="Q37" s="321">
        <v>633</v>
      </c>
      <c r="R37" s="321">
        <v>7818</v>
      </c>
      <c r="S37" s="321">
        <v>6247</v>
      </c>
      <c r="T37" s="321">
        <v>1402</v>
      </c>
      <c r="U37" s="321">
        <v>89</v>
      </c>
      <c r="V37" s="321">
        <v>6200</v>
      </c>
      <c r="W37" s="321">
        <v>5173</v>
      </c>
      <c r="X37" s="321">
        <v>406</v>
      </c>
      <c r="Y37" s="321">
        <v>544</v>
      </c>
    </row>
    <row r="38" spans="1:42" ht="17.25" customHeight="1">
      <c r="A38" s="344" t="s">
        <v>381</v>
      </c>
      <c r="B38" s="111">
        <v>1150</v>
      </c>
      <c r="C38" s="111">
        <v>303</v>
      </c>
      <c r="D38" s="111">
        <v>538</v>
      </c>
      <c r="E38" s="111">
        <v>309</v>
      </c>
      <c r="F38" s="111">
        <v>658</v>
      </c>
      <c r="G38" s="111">
        <v>133</v>
      </c>
      <c r="H38" s="111">
        <v>481</v>
      </c>
      <c r="I38" s="111">
        <v>44</v>
      </c>
      <c r="J38" s="111">
        <v>492</v>
      </c>
      <c r="K38" s="111">
        <v>170</v>
      </c>
      <c r="L38" s="111">
        <v>55</v>
      </c>
      <c r="M38" s="349">
        <v>265</v>
      </c>
      <c r="N38" s="321">
        <v>1150</v>
      </c>
      <c r="O38" s="321">
        <v>303</v>
      </c>
      <c r="P38" s="321">
        <v>538</v>
      </c>
      <c r="Q38" s="321">
        <v>309</v>
      </c>
      <c r="R38" s="321">
        <v>658</v>
      </c>
      <c r="S38" s="321">
        <v>133</v>
      </c>
      <c r="T38" s="321">
        <v>481</v>
      </c>
      <c r="U38" s="321">
        <v>44</v>
      </c>
      <c r="V38" s="321">
        <v>492</v>
      </c>
      <c r="W38" s="321">
        <v>170</v>
      </c>
      <c r="X38" s="321">
        <v>55</v>
      </c>
      <c r="Y38" s="321">
        <v>265</v>
      </c>
    </row>
    <row r="39" spans="1:42" ht="17.25" customHeight="1">
      <c r="A39" s="344" t="s">
        <v>382</v>
      </c>
      <c r="B39" s="111">
        <v>71</v>
      </c>
      <c r="C39" s="111">
        <v>56</v>
      </c>
      <c r="D39" s="111">
        <v>13</v>
      </c>
      <c r="E39" s="111">
        <v>2</v>
      </c>
      <c r="F39" s="111">
        <v>61</v>
      </c>
      <c r="G39" s="111">
        <v>48</v>
      </c>
      <c r="H39" s="111">
        <v>12</v>
      </c>
      <c r="I39" s="111">
        <v>1</v>
      </c>
      <c r="J39" s="111">
        <v>10</v>
      </c>
      <c r="K39" s="111">
        <v>8</v>
      </c>
      <c r="L39" s="112">
        <v>1</v>
      </c>
      <c r="M39" s="349">
        <v>1</v>
      </c>
      <c r="N39" s="321">
        <v>71</v>
      </c>
      <c r="O39" s="321">
        <v>56</v>
      </c>
      <c r="P39" s="321">
        <v>13</v>
      </c>
      <c r="Q39" s="321">
        <v>2</v>
      </c>
      <c r="R39" s="321">
        <v>61</v>
      </c>
      <c r="S39" s="321">
        <v>48</v>
      </c>
      <c r="T39" s="321">
        <v>12</v>
      </c>
      <c r="U39" s="321">
        <v>1</v>
      </c>
      <c r="V39" s="321">
        <v>10</v>
      </c>
      <c r="W39" s="321">
        <v>8</v>
      </c>
      <c r="X39" s="333">
        <v>1</v>
      </c>
      <c r="Y39" s="321">
        <v>1</v>
      </c>
    </row>
    <row r="40" spans="1:42" ht="17.25" customHeight="1">
      <c r="A40" s="344" t="s">
        <v>383</v>
      </c>
      <c r="B40" s="111">
        <v>7</v>
      </c>
      <c r="C40" s="111">
        <v>7</v>
      </c>
      <c r="D40" s="112" t="s">
        <v>345</v>
      </c>
      <c r="E40" s="112" t="s">
        <v>345</v>
      </c>
      <c r="F40" s="111">
        <v>3</v>
      </c>
      <c r="G40" s="111">
        <v>3</v>
      </c>
      <c r="H40" s="112" t="s">
        <v>384</v>
      </c>
      <c r="I40" s="112" t="s">
        <v>345</v>
      </c>
      <c r="J40" s="111">
        <v>4</v>
      </c>
      <c r="K40" s="111">
        <v>4</v>
      </c>
      <c r="L40" s="112" t="s">
        <v>345</v>
      </c>
      <c r="M40" s="350" t="s">
        <v>345</v>
      </c>
      <c r="N40" s="321">
        <v>7</v>
      </c>
      <c r="O40" s="321">
        <v>7</v>
      </c>
      <c r="P40" s="333" t="s">
        <v>345</v>
      </c>
      <c r="Q40" s="333" t="s">
        <v>345</v>
      </c>
      <c r="R40" s="321">
        <v>3</v>
      </c>
      <c r="S40" s="321">
        <v>3</v>
      </c>
      <c r="T40" s="333" t="s">
        <v>384</v>
      </c>
      <c r="U40" s="333" t="s">
        <v>345</v>
      </c>
      <c r="V40" s="321">
        <v>4</v>
      </c>
      <c r="W40" s="321">
        <v>4</v>
      </c>
      <c r="X40" s="333" t="s">
        <v>345</v>
      </c>
      <c r="Y40" s="333" t="s">
        <v>345</v>
      </c>
    </row>
    <row r="41" spans="1:42" ht="17.25" customHeight="1">
      <c r="A41" s="344" t="s">
        <v>417</v>
      </c>
      <c r="B41" s="111">
        <v>7</v>
      </c>
      <c r="C41" s="111">
        <v>7</v>
      </c>
      <c r="D41" s="112" t="s">
        <v>345</v>
      </c>
      <c r="E41" s="112" t="s">
        <v>345</v>
      </c>
      <c r="F41" s="111">
        <v>5</v>
      </c>
      <c r="G41" s="111">
        <v>5</v>
      </c>
      <c r="H41" s="112" t="s">
        <v>384</v>
      </c>
      <c r="I41" s="112" t="s">
        <v>345</v>
      </c>
      <c r="J41" s="111">
        <v>2</v>
      </c>
      <c r="K41" s="111">
        <v>2</v>
      </c>
      <c r="L41" s="112" t="s">
        <v>345</v>
      </c>
      <c r="M41" s="350" t="s">
        <v>345</v>
      </c>
      <c r="N41" s="321">
        <v>7</v>
      </c>
      <c r="O41" s="321">
        <v>7</v>
      </c>
      <c r="P41" s="333" t="s">
        <v>345</v>
      </c>
      <c r="Q41" s="333" t="s">
        <v>345</v>
      </c>
      <c r="R41" s="321">
        <v>5</v>
      </c>
      <c r="S41" s="321">
        <v>5</v>
      </c>
      <c r="T41" s="333" t="s">
        <v>384</v>
      </c>
      <c r="U41" s="333" t="s">
        <v>345</v>
      </c>
      <c r="V41" s="321">
        <v>2</v>
      </c>
      <c r="W41" s="321">
        <v>2</v>
      </c>
      <c r="X41" s="333" t="s">
        <v>345</v>
      </c>
      <c r="Y41" s="333" t="s">
        <v>345</v>
      </c>
    </row>
    <row r="42" spans="1:42" ht="17.25" customHeight="1">
      <c r="A42" s="344" t="s">
        <v>387</v>
      </c>
      <c r="B42" s="111">
        <v>1426</v>
      </c>
      <c r="C42" s="111">
        <v>1123</v>
      </c>
      <c r="D42" s="111">
        <v>244</v>
      </c>
      <c r="E42" s="111">
        <v>49</v>
      </c>
      <c r="F42" s="111">
        <v>1236</v>
      </c>
      <c r="G42" s="111">
        <v>966</v>
      </c>
      <c r="H42" s="111">
        <v>243</v>
      </c>
      <c r="I42" s="111">
        <v>17</v>
      </c>
      <c r="J42" s="111">
        <v>190</v>
      </c>
      <c r="K42" s="111">
        <v>157</v>
      </c>
      <c r="L42" s="111">
        <v>1</v>
      </c>
      <c r="M42" s="350">
        <v>32</v>
      </c>
      <c r="N42" s="321">
        <v>1426</v>
      </c>
      <c r="O42" s="321">
        <v>1123</v>
      </c>
      <c r="P42" s="321">
        <v>244</v>
      </c>
      <c r="Q42" s="321">
        <v>49</v>
      </c>
      <c r="R42" s="321">
        <v>1236</v>
      </c>
      <c r="S42" s="321">
        <v>966</v>
      </c>
      <c r="T42" s="321">
        <v>243</v>
      </c>
      <c r="U42" s="321">
        <v>17</v>
      </c>
      <c r="V42" s="321">
        <v>190</v>
      </c>
      <c r="W42" s="321">
        <v>157</v>
      </c>
      <c r="X42" s="321">
        <v>1</v>
      </c>
      <c r="Y42" s="333">
        <v>32</v>
      </c>
    </row>
    <row r="43" spans="1:42" ht="17.25" customHeight="1">
      <c r="A43" s="344" t="s">
        <v>388</v>
      </c>
      <c r="B43" s="111">
        <v>2523</v>
      </c>
      <c r="C43" s="111">
        <v>2341</v>
      </c>
      <c r="D43" s="111">
        <v>151</v>
      </c>
      <c r="E43" s="111">
        <v>20</v>
      </c>
      <c r="F43" s="111">
        <v>1675</v>
      </c>
      <c r="G43" s="111">
        <v>1564</v>
      </c>
      <c r="H43" s="111">
        <v>101</v>
      </c>
      <c r="I43" s="111">
        <v>2</v>
      </c>
      <c r="J43" s="111">
        <v>848</v>
      </c>
      <c r="K43" s="111">
        <v>777</v>
      </c>
      <c r="L43" s="111">
        <v>50</v>
      </c>
      <c r="M43" s="350">
        <v>18</v>
      </c>
      <c r="N43" s="321">
        <v>2523</v>
      </c>
      <c r="O43" s="321">
        <v>2341</v>
      </c>
      <c r="P43" s="321">
        <v>151</v>
      </c>
      <c r="Q43" s="321">
        <v>20</v>
      </c>
      <c r="R43" s="321">
        <v>1675</v>
      </c>
      <c r="S43" s="321">
        <v>1564</v>
      </c>
      <c r="T43" s="321">
        <v>101</v>
      </c>
      <c r="U43" s="321">
        <v>2</v>
      </c>
      <c r="V43" s="321">
        <v>848</v>
      </c>
      <c r="W43" s="321">
        <v>777</v>
      </c>
      <c r="X43" s="321">
        <v>50</v>
      </c>
      <c r="Y43" s="333">
        <v>18</v>
      </c>
    </row>
    <row r="44" spans="1:42" ht="17.25" customHeight="1">
      <c r="A44" s="344" t="s">
        <v>418</v>
      </c>
      <c r="B44" s="111">
        <v>158</v>
      </c>
      <c r="C44" s="111">
        <v>156</v>
      </c>
      <c r="D44" s="112">
        <v>1</v>
      </c>
      <c r="E44" s="112" t="s">
        <v>345</v>
      </c>
      <c r="F44" s="111">
        <v>136</v>
      </c>
      <c r="G44" s="111">
        <v>135</v>
      </c>
      <c r="H44" s="112" t="s">
        <v>384</v>
      </c>
      <c r="I44" s="112" t="s">
        <v>345</v>
      </c>
      <c r="J44" s="111">
        <v>22</v>
      </c>
      <c r="K44" s="111">
        <v>21</v>
      </c>
      <c r="L44" s="112">
        <v>1</v>
      </c>
      <c r="M44" s="350" t="s">
        <v>345</v>
      </c>
      <c r="N44" s="321">
        <v>158</v>
      </c>
      <c r="O44" s="321">
        <v>156</v>
      </c>
      <c r="P44" s="333">
        <v>1</v>
      </c>
      <c r="Q44" s="333" t="s">
        <v>345</v>
      </c>
      <c r="R44" s="321">
        <v>136</v>
      </c>
      <c r="S44" s="321">
        <v>135</v>
      </c>
      <c r="T44" s="333" t="s">
        <v>384</v>
      </c>
      <c r="U44" s="333" t="s">
        <v>345</v>
      </c>
      <c r="V44" s="321">
        <v>22</v>
      </c>
      <c r="W44" s="321">
        <v>21</v>
      </c>
      <c r="X44" s="333">
        <v>1</v>
      </c>
      <c r="Y44" s="333" t="s">
        <v>345</v>
      </c>
    </row>
    <row r="45" spans="1:42" ht="17.25" customHeight="1">
      <c r="A45" s="344" t="s">
        <v>391</v>
      </c>
      <c r="B45" s="111">
        <v>90</v>
      </c>
      <c r="C45" s="111">
        <v>80</v>
      </c>
      <c r="D45" s="111">
        <v>9</v>
      </c>
      <c r="E45" s="112" t="s">
        <v>345</v>
      </c>
      <c r="F45" s="111">
        <v>69</v>
      </c>
      <c r="G45" s="111">
        <v>60</v>
      </c>
      <c r="H45" s="111">
        <v>9</v>
      </c>
      <c r="I45" s="112" t="s">
        <v>345</v>
      </c>
      <c r="J45" s="111">
        <v>21</v>
      </c>
      <c r="K45" s="111">
        <v>20</v>
      </c>
      <c r="L45" s="112" t="s">
        <v>345</v>
      </c>
      <c r="M45" s="350" t="s">
        <v>345</v>
      </c>
      <c r="N45" s="321">
        <v>90</v>
      </c>
      <c r="O45" s="321">
        <v>80</v>
      </c>
      <c r="P45" s="321">
        <v>9</v>
      </c>
      <c r="Q45" s="333" t="s">
        <v>345</v>
      </c>
      <c r="R45" s="321">
        <v>69</v>
      </c>
      <c r="S45" s="321">
        <v>60</v>
      </c>
      <c r="T45" s="321">
        <v>9</v>
      </c>
      <c r="U45" s="333" t="s">
        <v>345</v>
      </c>
      <c r="V45" s="321">
        <v>21</v>
      </c>
      <c r="W45" s="321">
        <v>20</v>
      </c>
      <c r="X45" s="333" t="s">
        <v>345</v>
      </c>
      <c r="Y45" s="333" t="s">
        <v>345</v>
      </c>
    </row>
    <row r="46" spans="1:42" ht="17.25" customHeight="1">
      <c r="A46" s="344" t="s">
        <v>419</v>
      </c>
      <c r="B46" s="111">
        <v>593</v>
      </c>
      <c r="C46" s="111">
        <v>567</v>
      </c>
      <c r="D46" s="111">
        <v>25</v>
      </c>
      <c r="E46" s="112" t="s">
        <v>345</v>
      </c>
      <c r="F46" s="111">
        <v>505</v>
      </c>
      <c r="G46" s="111">
        <v>483</v>
      </c>
      <c r="H46" s="111">
        <v>21</v>
      </c>
      <c r="I46" s="112" t="s">
        <v>345</v>
      </c>
      <c r="J46" s="111">
        <v>88</v>
      </c>
      <c r="K46" s="111">
        <v>84</v>
      </c>
      <c r="L46" s="111">
        <v>4</v>
      </c>
      <c r="M46" s="350" t="s">
        <v>345</v>
      </c>
      <c r="N46" s="321">
        <v>593</v>
      </c>
      <c r="O46" s="321">
        <v>567</v>
      </c>
      <c r="P46" s="321">
        <v>25</v>
      </c>
      <c r="Q46" s="333" t="s">
        <v>345</v>
      </c>
      <c r="R46" s="321">
        <v>505</v>
      </c>
      <c r="S46" s="321">
        <v>483</v>
      </c>
      <c r="T46" s="321">
        <v>21</v>
      </c>
      <c r="U46" s="333" t="s">
        <v>345</v>
      </c>
      <c r="V46" s="321">
        <v>88</v>
      </c>
      <c r="W46" s="321">
        <v>84</v>
      </c>
      <c r="X46" s="321">
        <v>4</v>
      </c>
      <c r="Y46" s="333" t="s">
        <v>345</v>
      </c>
    </row>
    <row r="47" spans="1:42" ht="17.25" customHeight="1">
      <c r="A47" s="344" t="s">
        <v>420</v>
      </c>
      <c r="B47" s="111">
        <v>1677</v>
      </c>
      <c r="C47" s="111">
        <v>1454</v>
      </c>
      <c r="D47" s="111">
        <v>150</v>
      </c>
      <c r="E47" s="112">
        <v>68</v>
      </c>
      <c r="F47" s="111">
        <v>754</v>
      </c>
      <c r="G47" s="111">
        <v>636</v>
      </c>
      <c r="H47" s="111">
        <v>110</v>
      </c>
      <c r="I47" s="111">
        <v>7</v>
      </c>
      <c r="J47" s="111">
        <v>923</v>
      </c>
      <c r="K47" s="111">
        <v>818</v>
      </c>
      <c r="L47" s="111">
        <v>40</v>
      </c>
      <c r="M47" s="350">
        <v>61</v>
      </c>
      <c r="N47" s="321">
        <v>1677</v>
      </c>
      <c r="O47" s="321">
        <v>1454</v>
      </c>
      <c r="P47" s="321">
        <v>150</v>
      </c>
      <c r="Q47" s="333">
        <v>68</v>
      </c>
      <c r="R47" s="321">
        <v>754</v>
      </c>
      <c r="S47" s="321">
        <v>636</v>
      </c>
      <c r="T47" s="321">
        <v>110</v>
      </c>
      <c r="U47" s="321">
        <v>7</v>
      </c>
      <c r="V47" s="321">
        <v>923</v>
      </c>
      <c r="W47" s="321">
        <v>818</v>
      </c>
      <c r="X47" s="321">
        <v>40</v>
      </c>
      <c r="Y47" s="333">
        <v>61</v>
      </c>
    </row>
    <row r="48" spans="1:42" ht="17.25" customHeight="1">
      <c r="A48" s="344" t="s">
        <v>421</v>
      </c>
      <c r="B48" s="111">
        <v>181</v>
      </c>
      <c r="C48" s="111">
        <v>175</v>
      </c>
      <c r="D48" s="111">
        <v>5</v>
      </c>
      <c r="E48" s="112" t="s">
        <v>345</v>
      </c>
      <c r="F48" s="111">
        <v>68</v>
      </c>
      <c r="G48" s="111">
        <v>64</v>
      </c>
      <c r="H48" s="111">
        <v>3</v>
      </c>
      <c r="I48" s="112" t="s">
        <v>345</v>
      </c>
      <c r="J48" s="111">
        <v>113</v>
      </c>
      <c r="K48" s="111">
        <v>111</v>
      </c>
      <c r="L48" s="111">
        <v>2</v>
      </c>
      <c r="M48" s="350" t="s">
        <v>345</v>
      </c>
      <c r="N48" s="321">
        <v>181</v>
      </c>
      <c r="O48" s="321">
        <v>175</v>
      </c>
      <c r="P48" s="321">
        <v>5</v>
      </c>
      <c r="Q48" s="333" t="s">
        <v>345</v>
      </c>
      <c r="R48" s="321">
        <v>68</v>
      </c>
      <c r="S48" s="321">
        <v>64</v>
      </c>
      <c r="T48" s="321">
        <v>3</v>
      </c>
      <c r="U48" s="333" t="s">
        <v>345</v>
      </c>
      <c r="V48" s="321">
        <v>113</v>
      </c>
      <c r="W48" s="321">
        <v>111</v>
      </c>
      <c r="X48" s="321">
        <v>2</v>
      </c>
      <c r="Y48" s="333" t="s">
        <v>345</v>
      </c>
    </row>
    <row r="49" spans="1:25" ht="17.25" customHeight="1">
      <c r="A49" s="344" t="s">
        <v>422</v>
      </c>
      <c r="B49" s="111">
        <v>118</v>
      </c>
      <c r="C49" s="111">
        <v>101</v>
      </c>
      <c r="D49" s="111">
        <v>13</v>
      </c>
      <c r="E49" s="111">
        <v>4</v>
      </c>
      <c r="F49" s="111">
        <v>69</v>
      </c>
      <c r="G49" s="111">
        <v>60</v>
      </c>
      <c r="H49" s="111">
        <v>9</v>
      </c>
      <c r="I49" s="112" t="s">
        <v>345</v>
      </c>
      <c r="J49" s="111">
        <v>49</v>
      </c>
      <c r="K49" s="111">
        <v>41</v>
      </c>
      <c r="L49" s="111">
        <v>4</v>
      </c>
      <c r="M49" s="350">
        <v>4</v>
      </c>
      <c r="N49" s="321">
        <v>118</v>
      </c>
      <c r="O49" s="321">
        <v>101</v>
      </c>
      <c r="P49" s="321">
        <v>13</v>
      </c>
      <c r="Q49" s="321">
        <v>4</v>
      </c>
      <c r="R49" s="321">
        <v>69</v>
      </c>
      <c r="S49" s="321">
        <v>60</v>
      </c>
      <c r="T49" s="321">
        <v>9</v>
      </c>
      <c r="U49" s="333" t="s">
        <v>345</v>
      </c>
      <c r="V49" s="321">
        <v>49</v>
      </c>
      <c r="W49" s="321">
        <v>41</v>
      </c>
      <c r="X49" s="321">
        <v>4</v>
      </c>
      <c r="Y49" s="333">
        <v>4</v>
      </c>
    </row>
    <row r="50" spans="1:25" ht="17.25" customHeight="1">
      <c r="A50" s="344" t="s">
        <v>423</v>
      </c>
      <c r="B50" s="111">
        <v>274</v>
      </c>
      <c r="C50" s="111">
        <v>189</v>
      </c>
      <c r="D50" s="111">
        <v>66</v>
      </c>
      <c r="E50" s="111">
        <v>18</v>
      </c>
      <c r="F50" s="111">
        <v>189</v>
      </c>
      <c r="G50" s="111">
        <v>129</v>
      </c>
      <c r="H50" s="111">
        <v>58</v>
      </c>
      <c r="I50" s="111">
        <v>2</v>
      </c>
      <c r="J50" s="111">
        <v>85</v>
      </c>
      <c r="K50" s="111">
        <v>60</v>
      </c>
      <c r="L50" s="111">
        <v>8</v>
      </c>
      <c r="M50" s="350">
        <v>16</v>
      </c>
      <c r="N50" s="321">
        <v>274</v>
      </c>
      <c r="O50" s="321">
        <v>189</v>
      </c>
      <c r="P50" s="321">
        <v>66</v>
      </c>
      <c r="Q50" s="321">
        <v>18</v>
      </c>
      <c r="R50" s="321">
        <v>189</v>
      </c>
      <c r="S50" s="321">
        <v>129</v>
      </c>
      <c r="T50" s="321">
        <v>58</v>
      </c>
      <c r="U50" s="321">
        <v>2</v>
      </c>
      <c r="V50" s="321">
        <v>85</v>
      </c>
      <c r="W50" s="321">
        <v>60</v>
      </c>
      <c r="X50" s="321">
        <v>8</v>
      </c>
      <c r="Y50" s="333">
        <v>16</v>
      </c>
    </row>
    <row r="51" spans="1:25" ht="17.25" customHeight="1">
      <c r="A51" s="344" t="s">
        <v>424</v>
      </c>
      <c r="B51" s="111">
        <v>1146</v>
      </c>
      <c r="C51" s="111">
        <v>887</v>
      </c>
      <c r="D51" s="111">
        <v>169</v>
      </c>
      <c r="E51" s="111">
        <v>87</v>
      </c>
      <c r="F51" s="111">
        <v>442</v>
      </c>
      <c r="G51" s="111">
        <v>323</v>
      </c>
      <c r="H51" s="111">
        <v>110</v>
      </c>
      <c r="I51" s="111">
        <v>8</v>
      </c>
      <c r="J51" s="111">
        <v>704</v>
      </c>
      <c r="K51" s="111">
        <v>564</v>
      </c>
      <c r="L51" s="111">
        <v>59</v>
      </c>
      <c r="M51" s="350">
        <v>79</v>
      </c>
      <c r="N51" s="321">
        <v>1146</v>
      </c>
      <c r="O51" s="321">
        <v>887</v>
      </c>
      <c r="P51" s="321">
        <v>169</v>
      </c>
      <c r="Q51" s="321">
        <v>87</v>
      </c>
      <c r="R51" s="321">
        <v>442</v>
      </c>
      <c r="S51" s="321">
        <v>323</v>
      </c>
      <c r="T51" s="321">
        <v>110</v>
      </c>
      <c r="U51" s="321">
        <v>8</v>
      </c>
      <c r="V51" s="321">
        <v>704</v>
      </c>
      <c r="W51" s="321">
        <v>564</v>
      </c>
      <c r="X51" s="321">
        <v>59</v>
      </c>
      <c r="Y51" s="333">
        <v>79</v>
      </c>
    </row>
    <row r="52" spans="1:25" ht="17.25" customHeight="1">
      <c r="A52" s="344" t="s">
        <v>425</v>
      </c>
      <c r="B52" s="111">
        <v>544</v>
      </c>
      <c r="C52" s="111">
        <v>414</v>
      </c>
      <c r="D52" s="111">
        <v>102</v>
      </c>
      <c r="E52" s="111">
        <v>28</v>
      </c>
      <c r="F52" s="111">
        <v>202</v>
      </c>
      <c r="G52" s="111">
        <f>139+22</f>
        <v>161</v>
      </c>
      <c r="H52" s="111">
        <v>37</v>
      </c>
      <c r="I52" s="111">
        <v>4</v>
      </c>
      <c r="J52" s="111">
        <v>342</v>
      </c>
      <c r="K52" s="111">
        <v>253</v>
      </c>
      <c r="L52" s="111">
        <v>65</v>
      </c>
      <c r="M52" s="350">
        <v>24</v>
      </c>
      <c r="N52" s="321">
        <v>544</v>
      </c>
      <c r="O52" s="321">
        <v>414</v>
      </c>
      <c r="P52" s="321">
        <v>102</v>
      </c>
      <c r="Q52" s="321">
        <v>28</v>
      </c>
      <c r="R52" s="321">
        <v>202</v>
      </c>
      <c r="S52" s="321">
        <f>139+22</f>
        <v>161</v>
      </c>
      <c r="T52" s="321">
        <v>37</v>
      </c>
      <c r="U52" s="321">
        <v>4</v>
      </c>
      <c r="V52" s="321">
        <v>342</v>
      </c>
      <c r="W52" s="321">
        <v>253</v>
      </c>
      <c r="X52" s="321">
        <v>65</v>
      </c>
      <c r="Y52" s="333">
        <v>24</v>
      </c>
    </row>
    <row r="53" spans="1:25" ht="17.25" customHeight="1">
      <c r="A53" s="344" t="s">
        <v>426</v>
      </c>
      <c r="B53" s="111">
        <v>499</v>
      </c>
      <c r="C53" s="111">
        <v>447</v>
      </c>
      <c r="D53" s="111">
        <v>45</v>
      </c>
      <c r="E53" s="111">
        <v>6</v>
      </c>
      <c r="F53" s="111">
        <v>230</v>
      </c>
      <c r="G53" s="111">
        <v>219</v>
      </c>
      <c r="H53" s="111">
        <v>10</v>
      </c>
      <c r="I53" s="112">
        <v>1</v>
      </c>
      <c r="J53" s="111">
        <v>269</v>
      </c>
      <c r="K53" s="111">
        <v>228</v>
      </c>
      <c r="L53" s="111">
        <v>35</v>
      </c>
      <c r="M53" s="350">
        <v>5</v>
      </c>
      <c r="N53" s="321">
        <v>499</v>
      </c>
      <c r="O53" s="321">
        <v>447</v>
      </c>
      <c r="P53" s="321">
        <v>45</v>
      </c>
      <c r="Q53" s="321">
        <v>6</v>
      </c>
      <c r="R53" s="321">
        <v>230</v>
      </c>
      <c r="S53" s="321">
        <v>219</v>
      </c>
      <c r="T53" s="321">
        <v>10</v>
      </c>
      <c r="U53" s="333">
        <v>1</v>
      </c>
      <c r="V53" s="321">
        <v>269</v>
      </c>
      <c r="W53" s="321">
        <v>228</v>
      </c>
      <c r="X53" s="321">
        <v>35</v>
      </c>
      <c r="Y53" s="333">
        <v>5</v>
      </c>
    </row>
    <row r="54" spans="1:25" ht="17.25" customHeight="1">
      <c r="A54" s="344" t="s">
        <v>427</v>
      </c>
      <c r="B54" s="111">
        <v>1750</v>
      </c>
      <c r="C54" s="111">
        <v>1656</v>
      </c>
      <c r="D54" s="111">
        <v>60</v>
      </c>
      <c r="E54" s="111">
        <v>28</v>
      </c>
      <c r="F54" s="111">
        <v>381</v>
      </c>
      <c r="G54" s="111">
        <v>331</v>
      </c>
      <c r="H54" s="111">
        <v>50</v>
      </c>
      <c r="I54" s="112" t="s">
        <v>345</v>
      </c>
      <c r="J54" s="111">
        <v>1369</v>
      </c>
      <c r="K54" s="111">
        <v>1325</v>
      </c>
      <c r="L54" s="111">
        <v>10</v>
      </c>
      <c r="M54" s="350">
        <v>28</v>
      </c>
      <c r="N54" s="321">
        <v>1750</v>
      </c>
      <c r="O54" s="321">
        <v>1656</v>
      </c>
      <c r="P54" s="321">
        <v>60</v>
      </c>
      <c r="Q54" s="321">
        <v>28</v>
      </c>
      <c r="R54" s="321">
        <v>381</v>
      </c>
      <c r="S54" s="321">
        <v>331</v>
      </c>
      <c r="T54" s="321">
        <v>50</v>
      </c>
      <c r="U54" s="333" t="s">
        <v>345</v>
      </c>
      <c r="V54" s="321">
        <v>1369</v>
      </c>
      <c r="W54" s="321">
        <v>1325</v>
      </c>
      <c r="X54" s="321">
        <v>10</v>
      </c>
      <c r="Y54" s="333">
        <v>28</v>
      </c>
    </row>
    <row r="55" spans="1:25" ht="17.25" customHeight="1">
      <c r="A55" s="344" t="s">
        <v>428</v>
      </c>
      <c r="B55" s="111">
        <v>208</v>
      </c>
      <c r="C55" s="111">
        <v>202</v>
      </c>
      <c r="D55" s="111">
        <v>4</v>
      </c>
      <c r="E55" s="111">
        <v>1</v>
      </c>
      <c r="F55" s="111">
        <v>107</v>
      </c>
      <c r="G55" s="111">
        <v>105</v>
      </c>
      <c r="H55" s="111">
        <v>1</v>
      </c>
      <c r="I55" s="112" t="s">
        <v>345</v>
      </c>
      <c r="J55" s="111">
        <v>101</v>
      </c>
      <c r="K55" s="111">
        <v>97</v>
      </c>
      <c r="L55" s="111">
        <v>3</v>
      </c>
      <c r="M55" s="350">
        <v>1</v>
      </c>
      <c r="N55" s="321">
        <v>208</v>
      </c>
      <c r="O55" s="321">
        <v>202</v>
      </c>
      <c r="P55" s="321">
        <v>4</v>
      </c>
      <c r="Q55" s="321">
        <v>1</v>
      </c>
      <c r="R55" s="321">
        <v>107</v>
      </c>
      <c r="S55" s="321">
        <v>105</v>
      </c>
      <c r="T55" s="321">
        <v>1</v>
      </c>
      <c r="U55" s="333" t="s">
        <v>345</v>
      </c>
      <c r="V55" s="321">
        <v>101</v>
      </c>
      <c r="W55" s="321">
        <v>97</v>
      </c>
      <c r="X55" s="321">
        <v>3</v>
      </c>
      <c r="Y55" s="333">
        <v>1</v>
      </c>
    </row>
    <row r="56" spans="1:25" ht="17.25" customHeight="1">
      <c r="A56" s="344" t="s">
        <v>429</v>
      </c>
      <c r="B56" s="111">
        <v>724</v>
      </c>
      <c r="C56" s="111">
        <v>552</v>
      </c>
      <c r="D56" s="111">
        <v>165</v>
      </c>
      <c r="E56" s="111">
        <v>6</v>
      </c>
      <c r="F56" s="111">
        <v>466</v>
      </c>
      <c r="G56" s="111">
        <v>355</v>
      </c>
      <c r="H56" s="111">
        <v>108</v>
      </c>
      <c r="I56" s="111">
        <v>2</v>
      </c>
      <c r="J56" s="111">
        <v>258</v>
      </c>
      <c r="K56" s="111">
        <v>197</v>
      </c>
      <c r="L56" s="111">
        <v>57</v>
      </c>
      <c r="M56" s="350">
        <v>4</v>
      </c>
      <c r="N56" s="321">
        <v>724</v>
      </c>
      <c r="O56" s="321">
        <v>552</v>
      </c>
      <c r="P56" s="321">
        <v>165</v>
      </c>
      <c r="Q56" s="321">
        <v>6</v>
      </c>
      <c r="R56" s="321">
        <v>466</v>
      </c>
      <c r="S56" s="321">
        <v>355</v>
      </c>
      <c r="T56" s="321">
        <v>108</v>
      </c>
      <c r="U56" s="321">
        <v>2</v>
      </c>
      <c r="V56" s="321">
        <v>258</v>
      </c>
      <c r="W56" s="321">
        <v>197</v>
      </c>
      <c r="X56" s="321">
        <v>57</v>
      </c>
      <c r="Y56" s="333">
        <v>4</v>
      </c>
    </row>
    <row r="57" spans="1:25" ht="17.25" customHeight="1" thickBot="1">
      <c r="A57" s="345" t="s">
        <v>430</v>
      </c>
      <c r="B57" s="119">
        <v>551</v>
      </c>
      <c r="C57" s="120">
        <v>551</v>
      </c>
      <c r="D57" s="120" t="s">
        <v>345</v>
      </c>
      <c r="E57" s="120" t="s">
        <v>345</v>
      </c>
      <c r="F57" s="120">
        <v>391</v>
      </c>
      <c r="G57" s="120">
        <v>391</v>
      </c>
      <c r="H57" s="120" t="s">
        <v>384</v>
      </c>
      <c r="I57" s="120" t="s">
        <v>345</v>
      </c>
      <c r="J57" s="120">
        <v>160</v>
      </c>
      <c r="K57" s="120">
        <v>160</v>
      </c>
      <c r="L57" s="120" t="s">
        <v>345</v>
      </c>
      <c r="M57" s="351" t="s">
        <v>345</v>
      </c>
      <c r="N57" s="339">
        <v>551</v>
      </c>
      <c r="O57" s="352">
        <v>551</v>
      </c>
      <c r="P57" s="352" t="s">
        <v>345</v>
      </c>
      <c r="Q57" s="352" t="s">
        <v>345</v>
      </c>
      <c r="R57" s="352">
        <v>391</v>
      </c>
      <c r="S57" s="352">
        <v>391</v>
      </c>
      <c r="T57" s="352" t="s">
        <v>384</v>
      </c>
      <c r="U57" s="352" t="s">
        <v>345</v>
      </c>
      <c r="V57" s="352">
        <v>160</v>
      </c>
      <c r="W57" s="352">
        <v>160</v>
      </c>
      <c r="X57" s="352" t="s">
        <v>345</v>
      </c>
      <c r="Y57" s="352" t="s">
        <v>345</v>
      </c>
    </row>
    <row r="58" spans="1:25" ht="17.25" customHeight="1" thickBot="1">
      <c r="A58" s="345" t="s">
        <v>432</v>
      </c>
      <c r="B58" s="119">
        <v>321</v>
      </c>
      <c r="C58" s="120">
        <v>152</v>
      </c>
      <c r="D58" s="120">
        <v>50</v>
      </c>
      <c r="E58" s="120">
        <v>7</v>
      </c>
      <c r="F58" s="120">
        <v>171</v>
      </c>
      <c r="G58" s="120">
        <v>76</v>
      </c>
      <c r="H58" s="120">
        <v>39</v>
      </c>
      <c r="I58" s="120">
        <v>1</v>
      </c>
      <c r="J58" s="120">
        <v>150</v>
      </c>
      <c r="K58" s="120">
        <v>76</v>
      </c>
      <c r="L58" s="120">
        <v>11</v>
      </c>
      <c r="M58" s="351">
        <v>6</v>
      </c>
      <c r="N58" s="339">
        <v>321</v>
      </c>
      <c r="O58" s="352">
        <v>152</v>
      </c>
      <c r="P58" s="352">
        <v>50</v>
      </c>
      <c r="Q58" s="352">
        <v>7</v>
      </c>
      <c r="R58" s="352">
        <v>171</v>
      </c>
      <c r="S58" s="352">
        <v>76</v>
      </c>
      <c r="T58" s="352">
        <v>39</v>
      </c>
      <c r="U58" s="352">
        <v>1</v>
      </c>
      <c r="V58" s="352">
        <v>150</v>
      </c>
      <c r="W58" s="352">
        <v>76</v>
      </c>
      <c r="X58" s="352">
        <v>11</v>
      </c>
      <c r="Y58" s="352">
        <v>6</v>
      </c>
    </row>
    <row r="59" spans="1:25" ht="17.25" customHeight="1">
      <c r="A59" s="187" t="s">
        <v>433</v>
      </c>
    </row>
    <row r="60" spans="1:25" ht="17.25" customHeight="1">
      <c r="A60" s="29" t="s">
        <v>434</v>
      </c>
    </row>
  </sheetData>
  <mergeCells count="89">
    <mergeCell ref="W1:Y1"/>
    <mergeCell ref="B2:M2"/>
    <mergeCell ref="N2:Y2"/>
    <mergeCell ref="B3:E3"/>
    <mergeCell ref="F3:I3"/>
    <mergeCell ref="J3:M3"/>
    <mergeCell ref="N3:Q3"/>
    <mergeCell ref="R3:U3"/>
    <mergeCell ref="V3:Y3"/>
    <mergeCell ref="M4:M5"/>
    <mergeCell ref="B4:B5"/>
    <mergeCell ref="C4:C5"/>
    <mergeCell ref="D4:D5"/>
    <mergeCell ref="E4:E5"/>
    <mergeCell ref="F4:F5"/>
    <mergeCell ref="G4:G5"/>
    <mergeCell ref="H4:H5"/>
    <mergeCell ref="I4:I5"/>
    <mergeCell ref="J4:J5"/>
    <mergeCell ref="K4:K5"/>
    <mergeCell ref="L4:L5"/>
    <mergeCell ref="Y4:Y5"/>
    <mergeCell ref="N4:N5"/>
    <mergeCell ref="O4:O5"/>
    <mergeCell ref="P4:P5"/>
    <mergeCell ref="Q4:Q5"/>
    <mergeCell ref="R4:R5"/>
    <mergeCell ref="S4:S5"/>
    <mergeCell ref="T4:T5"/>
    <mergeCell ref="U4:U5"/>
    <mergeCell ref="V4:V5"/>
    <mergeCell ref="W4:W5"/>
    <mergeCell ref="X4:X5"/>
    <mergeCell ref="M15:M16"/>
    <mergeCell ref="B15:B16"/>
    <mergeCell ref="C15:C16"/>
    <mergeCell ref="D15:D16"/>
    <mergeCell ref="E15:E16"/>
    <mergeCell ref="F15:F16"/>
    <mergeCell ref="G15:G16"/>
    <mergeCell ref="H15:H16"/>
    <mergeCell ref="I15:I16"/>
    <mergeCell ref="J15:J16"/>
    <mergeCell ref="K15:K16"/>
    <mergeCell ref="L15:L16"/>
    <mergeCell ref="M23:M26"/>
    <mergeCell ref="B23:B26"/>
    <mergeCell ref="C23:C26"/>
    <mergeCell ref="D23:D26"/>
    <mergeCell ref="E23:E26"/>
    <mergeCell ref="F23:F26"/>
    <mergeCell ref="G23:G26"/>
    <mergeCell ref="H23:H26"/>
    <mergeCell ref="I23:I26"/>
    <mergeCell ref="J23:J26"/>
    <mergeCell ref="K23:K26"/>
    <mergeCell ref="L23:L26"/>
    <mergeCell ref="B32:M32"/>
    <mergeCell ref="N32:Y32"/>
    <mergeCell ref="B33:E33"/>
    <mergeCell ref="F33:I33"/>
    <mergeCell ref="J33:M33"/>
    <mergeCell ref="N33:Q33"/>
    <mergeCell ref="R33:U33"/>
    <mergeCell ref="V33:Y33"/>
    <mergeCell ref="M34:M35"/>
    <mergeCell ref="B34:B35"/>
    <mergeCell ref="C34:C35"/>
    <mergeCell ref="D34:D35"/>
    <mergeCell ref="E34:E35"/>
    <mergeCell ref="F34:F35"/>
    <mergeCell ref="G34:G35"/>
    <mergeCell ref="H34:H35"/>
    <mergeCell ref="I34:I35"/>
    <mergeCell ref="J34:J35"/>
    <mergeCell ref="K34:K35"/>
    <mergeCell ref="L34:L35"/>
    <mergeCell ref="Y34:Y35"/>
    <mergeCell ref="N34:N35"/>
    <mergeCell ref="O34:O35"/>
    <mergeCell ref="P34:P35"/>
    <mergeCell ref="Q34:Q35"/>
    <mergeCell ref="R34:R35"/>
    <mergeCell ref="S34:S35"/>
    <mergeCell ref="T34:T35"/>
    <mergeCell ref="U34:U35"/>
    <mergeCell ref="V34:V35"/>
    <mergeCell ref="W34:W35"/>
    <mergeCell ref="X34:X35"/>
  </mergeCells>
  <phoneticPr fontId="4"/>
  <printOptions horizontalCentered="1"/>
  <pageMargins left="0.70866141732283472" right="0.78740157480314965" top="0.98425196850393704" bottom="0.98425196850393704" header="0.51181102362204722" footer="0.51181102362204722"/>
  <pageSetup paperSize="9" scale="4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3E07E-65E4-4EED-9985-E68E8FBBA384}">
  <sheetPr codeName="Sheet23">
    <pageSetUpPr fitToPage="1"/>
  </sheetPr>
  <dimension ref="A1:P45"/>
  <sheetViews>
    <sheetView zoomScaleNormal="100" workbookViewId="0">
      <selection activeCell="B1" sqref="B1"/>
    </sheetView>
  </sheetViews>
  <sheetFormatPr defaultColWidth="9" defaultRowHeight="23.25" customHeight="1"/>
  <cols>
    <col min="1" max="1" width="22.19921875" style="353" customWidth="1"/>
    <col min="2" max="10" width="7.09765625" style="82" customWidth="1"/>
    <col min="11" max="19" width="7.09765625" style="353" customWidth="1"/>
    <col min="20" max="16384" width="9" style="353"/>
  </cols>
  <sheetData>
    <row r="1" spans="1:16" ht="30" customHeight="1">
      <c r="A1" s="2144" t="s">
        <v>457</v>
      </c>
      <c r="B1" s="2144"/>
      <c r="C1" s="2144"/>
      <c r="D1" s="2144"/>
      <c r="E1" s="2144"/>
      <c r="F1" s="2144"/>
      <c r="G1" s="2144"/>
      <c r="H1" s="2144"/>
      <c r="I1" s="2144"/>
      <c r="J1" s="2144"/>
      <c r="K1" s="2144"/>
      <c r="L1" s="355"/>
      <c r="M1" s="355"/>
    </row>
    <row r="2" spans="1:16" ht="16.8" thickBot="1">
      <c r="A2" s="372"/>
      <c r="K2" s="372"/>
      <c r="L2" s="355"/>
      <c r="M2" s="355"/>
      <c r="N2" s="2264" t="s">
        <v>272</v>
      </c>
      <c r="O2" s="2264"/>
      <c r="P2" s="2264"/>
    </row>
    <row r="3" spans="1:16" ht="23.25" customHeight="1">
      <c r="A3" s="2265" t="s">
        <v>456</v>
      </c>
      <c r="B3" s="2183" t="s">
        <v>373</v>
      </c>
      <c r="C3" s="2184"/>
      <c r="D3" s="2185"/>
      <c r="E3" s="2183" t="s">
        <v>374</v>
      </c>
      <c r="F3" s="2184"/>
      <c r="G3" s="2185"/>
      <c r="H3" s="2184" t="s">
        <v>375</v>
      </c>
      <c r="I3" s="2184"/>
      <c r="J3" s="2184"/>
      <c r="K3" s="2267" t="s">
        <v>376</v>
      </c>
      <c r="L3" s="2268"/>
      <c r="M3" s="2268"/>
      <c r="N3" s="2267" t="s">
        <v>377</v>
      </c>
      <c r="O3" s="2268"/>
      <c r="P3" s="2268"/>
    </row>
    <row r="4" spans="1:16" ht="23.25" customHeight="1">
      <c r="A4" s="2266"/>
      <c r="B4" s="130" t="s">
        <v>455</v>
      </c>
      <c r="C4" s="130" t="s">
        <v>454</v>
      </c>
      <c r="D4" s="196" t="s">
        <v>453</v>
      </c>
      <c r="E4" s="130" t="s">
        <v>455</v>
      </c>
      <c r="F4" s="130" t="s">
        <v>454</v>
      </c>
      <c r="G4" s="84" t="s">
        <v>453</v>
      </c>
      <c r="H4" s="130" t="s">
        <v>455</v>
      </c>
      <c r="I4" s="130" t="s">
        <v>454</v>
      </c>
      <c r="J4" s="84" t="s">
        <v>453</v>
      </c>
      <c r="K4" s="371" t="s">
        <v>455</v>
      </c>
      <c r="L4" s="371" t="s">
        <v>454</v>
      </c>
      <c r="M4" s="370" t="s">
        <v>453</v>
      </c>
      <c r="N4" s="371" t="s">
        <v>455</v>
      </c>
      <c r="O4" s="371" t="s">
        <v>454</v>
      </c>
      <c r="P4" s="370" t="s">
        <v>453</v>
      </c>
    </row>
    <row r="5" spans="1:16" ht="23.25" customHeight="1">
      <c r="A5" s="369"/>
      <c r="B5" s="98" t="s">
        <v>452</v>
      </c>
      <c r="C5" s="98" t="s">
        <v>452</v>
      </c>
      <c r="D5" s="34" t="s">
        <v>452</v>
      </c>
      <c r="E5" s="98" t="s">
        <v>452</v>
      </c>
      <c r="F5" s="98" t="s">
        <v>452</v>
      </c>
      <c r="G5" s="36" t="s">
        <v>452</v>
      </c>
      <c r="H5" s="98" t="s">
        <v>452</v>
      </c>
      <c r="I5" s="98" t="s">
        <v>452</v>
      </c>
      <c r="J5" s="36" t="s">
        <v>452</v>
      </c>
      <c r="K5" s="368" t="s">
        <v>452</v>
      </c>
      <c r="L5" s="368" t="s">
        <v>452</v>
      </c>
      <c r="M5" s="367" t="s">
        <v>452</v>
      </c>
      <c r="N5" s="368" t="s">
        <v>452</v>
      </c>
      <c r="O5" s="368" t="s">
        <v>452</v>
      </c>
      <c r="P5" s="367" t="s">
        <v>452</v>
      </c>
    </row>
    <row r="6" spans="1:16" ht="23.25" customHeight="1">
      <c r="A6" s="365" t="s">
        <v>451</v>
      </c>
      <c r="B6" s="112">
        <v>18170</v>
      </c>
      <c r="C6" s="112">
        <v>10493</v>
      </c>
      <c r="D6" s="112">
        <v>7677</v>
      </c>
      <c r="E6" s="112">
        <v>16655</v>
      </c>
      <c r="F6" s="112">
        <v>9454</v>
      </c>
      <c r="G6" s="112">
        <v>7201</v>
      </c>
      <c r="H6" s="112">
        <v>14812</v>
      </c>
      <c r="I6" s="112">
        <v>8388</v>
      </c>
      <c r="J6" s="350">
        <v>6424</v>
      </c>
      <c r="K6" s="112">
        <v>14018</v>
      </c>
      <c r="L6" s="112">
        <v>7818</v>
      </c>
      <c r="M6" s="112">
        <v>6200</v>
      </c>
      <c r="N6" s="359">
        <v>12168</v>
      </c>
      <c r="O6" s="359">
        <v>6634</v>
      </c>
      <c r="P6" s="363">
        <v>5534</v>
      </c>
    </row>
    <row r="7" spans="1:16" ht="23.25" customHeight="1">
      <c r="A7" s="365" t="s">
        <v>450</v>
      </c>
      <c r="B7" s="112">
        <v>1874</v>
      </c>
      <c r="C7" s="112">
        <v>1036</v>
      </c>
      <c r="D7" s="112">
        <v>838</v>
      </c>
      <c r="E7" s="112">
        <v>1637</v>
      </c>
      <c r="F7" s="112">
        <v>779</v>
      </c>
      <c r="G7" s="112">
        <v>858</v>
      </c>
      <c r="H7" s="112">
        <v>1704</v>
      </c>
      <c r="I7" s="112">
        <v>816</v>
      </c>
      <c r="J7" s="350">
        <v>888</v>
      </c>
      <c r="K7" s="112">
        <v>353</v>
      </c>
      <c r="L7" s="112">
        <v>293</v>
      </c>
      <c r="M7" s="112">
        <v>60</v>
      </c>
      <c r="N7" s="359">
        <v>233</v>
      </c>
      <c r="O7" s="359">
        <v>203</v>
      </c>
      <c r="P7" s="363">
        <v>30</v>
      </c>
    </row>
    <row r="8" spans="1:16" ht="23.25" customHeight="1">
      <c r="A8" s="366" t="s">
        <v>449</v>
      </c>
      <c r="B8" s="112">
        <v>492</v>
      </c>
      <c r="C8" s="112">
        <v>442</v>
      </c>
      <c r="D8" s="112">
        <v>50</v>
      </c>
      <c r="E8" s="112">
        <v>368</v>
      </c>
      <c r="F8" s="112">
        <v>336</v>
      </c>
      <c r="G8" s="112">
        <v>32</v>
      </c>
      <c r="H8" s="112">
        <v>433</v>
      </c>
      <c r="I8" s="112">
        <v>381</v>
      </c>
      <c r="J8" s="350">
        <v>52</v>
      </c>
      <c r="K8" s="112">
        <v>1765</v>
      </c>
      <c r="L8" s="112">
        <v>835</v>
      </c>
      <c r="M8" s="112">
        <v>930</v>
      </c>
      <c r="N8" s="359">
        <v>1599</v>
      </c>
      <c r="O8" s="359">
        <v>721</v>
      </c>
      <c r="P8" s="363">
        <v>878</v>
      </c>
    </row>
    <row r="9" spans="1:16" ht="23.25" customHeight="1">
      <c r="A9" s="365" t="s">
        <v>448</v>
      </c>
      <c r="B9" s="112">
        <v>2954</v>
      </c>
      <c r="C9" s="112">
        <v>1083</v>
      </c>
      <c r="D9" s="112">
        <v>1871</v>
      </c>
      <c r="E9" s="112">
        <v>2702</v>
      </c>
      <c r="F9" s="112">
        <v>1028</v>
      </c>
      <c r="G9" s="112">
        <v>1674</v>
      </c>
      <c r="H9" s="112">
        <v>2230</v>
      </c>
      <c r="I9" s="112">
        <v>880</v>
      </c>
      <c r="J9" s="350">
        <v>1350</v>
      </c>
      <c r="K9" s="112">
        <v>2157</v>
      </c>
      <c r="L9" s="112">
        <v>882</v>
      </c>
      <c r="M9" s="112">
        <v>1275</v>
      </c>
      <c r="N9" s="359">
        <v>2008</v>
      </c>
      <c r="O9" s="359">
        <v>783</v>
      </c>
      <c r="P9" s="363">
        <v>1225</v>
      </c>
    </row>
    <row r="10" spans="1:16" ht="23.25" customHeight="1">
      <c r="A10" s="365" t="s">
        <v>447</v>
      </c>
      <c r="B10" s="112">
        <v>1877</v>
      </c>
      <c r="C10" s="112">
        <v>1053</v>
      </c>
      <c r="D10" s="112">
        <v>824</v>
      </c>
      <c r="E10" s="112">
        <v>1675</v>
      </c>
      <c r="F10" s="112">
        <v>903</v>
      </c>
      <c r="G10" s="112">
        <v>772</v>
      </c>
      <c r="H10" s="112">
        <v>1425</v>
      </c>
      <c r="I10" s="112">
        <v>679</v>
      </c>
      <c r="J10" s="350">
        <v>746</v>
      </c>
      <c r="K10" s="112">
        <v>1211</v>
      </c>
      <c r="L10" s="112">
        <v>578</v>
      </c>
      <c r="M10" s="112">
        <v>633</v>
      </c>
      <c r="N10" s="359">
        <v>1055</v>
      </c>
      <c r="O10" s="359">
        <v>512</v>
      </c>
      <c r="P10" s="363">
        <v>543</v>
      </c>
    </row>
    <row r="11" spans="1:16" ht="23.25" customHeight="1">
      <c r="A11" s="365" t="s">
        <v>446</v>
      </c>
      <c r="B11" s="112">
        <v>1685</v>
      </c>
      <c r="C11" s="112">
        <v>878</v>
      </c>
      <c r="D11" s="112">
        <v>807</v>
      </c>
      <c r="E11" s="112">
        <v>1742</v>
      </c>
      <c r="F11" s="112">
        <v>977</v>
      </c>
      <c r="G11" s="112">
        <v>765</v>
      </c>
      <c r="H11" s="112">
        <v>1234</v>
      </c>
      <c r="I11" s="112">
        <v>772</v>
      </c>
      <c r="J11" s="350">
        <v>462</v>
      </c>
      <c r="K11" s="112">
        <v>1997</v>
      </c>
      <c r="L11" s="112">
        <v>624</v>
      </c>
      <c r="M11" s="112">
        <v>1373</v>
      </c>
      <c r="N11" s="359">
        <v>1758</v>
      </c>
      <c r="O11" s="359">
        <v>550</v>
      </c>
      <c r="P11" s="363">
        <v>1208</v>
      </c>
    </row>
    <row r="12" spans="1:16" ht="23.25" customHeight="1">
      <c r="A12" s="365" t="s">
        <v>445</v>
      </c>
      <c r="B12" s="112">
        <v>596</v>
      </c>
      <c r="C12" s="112">
        <v>564</v>
      </c>
      <c r="D12" s="112">
        <v>32</v>
      </c>
      <c r="E12" s="112">
        <v>515</v>
      </c>
      <c r="F12" s="112">
        <v>469</v>
      </c>
      <c r="G12" s="112">
        <v>46</v>
      </c>
      <c r="H12" s="112">
        <v>649</v>
      </c>
      <c r="I12" s="112">
        <v>628</v>
      </c>
      <c r="J12" s="350">
        <v>21</v>
      </c>
      <c r="K12" s="112">
        <v>182</v>
      </c>
      <c r="L12" s="112">
        <v>175</v>
      </c>
      <c r="M12" s="112">
        <v>7</v>
      </c>
      <c r="N12" s="359">
        <v>165</v>
      </c>
      <c r="O12" s="359">
        <v>154</v>
      </c>
      <c r="P12" s="363">
        <v>11</v>
      </c>
    </row>
    <row r="13" spans="1:16" ht="23.25" customHeight="1">
      <c r="A13" s="365" t="s">
        <v>444</v>
      </c>
      <c r="B13" s="112">
        <v>6606</v>
      </c>
      <c r="C13" s="112">
        <v>4604</v>
      </c>
      <c r="D13" s="112">
        <v>2002</v>
      </c>
      <c r="E13" s="112">
        <v>5862</v>
      </c>
      <c r="F13" s="112">
        <v>4161</v>
      </c>
      <c r="G13" s="112">
        <v>1701</v>
      </c>
      <c r="H13" s="112">
        <v>2584</v>
      </c>
      <c r="I13" s="112">
        <v>1815</v>
      </c>
      <c r="J13" s="350">
        <v>769</v>
      </c>
      <c r="K13" s="112">
        <v>1111</v>
      </c>
      <c r="L13" s="112">
        <v>709</v>
      </c>
      <c r="M13" s="112">
        <v>402</v>
      </c>
      <c r="N13" s="359">
        <v>979</v>
      </c>
      <c r="O13" s="359">
        <v>589</v>
      </c>
      <c r="P13" s="363">
        <v>390</v>
      </c>
    </row>
    <row r="14" spans="1:16" ht="23.25" customHeight="1">
      <c r="A14" s="365" t="s">
        <v>443</v>
      </c>
      <c r="B14" s="112">
        <v>188</v>
      </c>
      <c r="C14" s="112">
        <v>176</v>
      </c>
      <c r="D14" s="112">
        <v>12</v>
      </c>
      <c r="E14" s="112">
        <v>183</v>
      </c>
      <c r="F14" s="112">
        <v>168</v>
      </c>
      <c r="G14" s="112">
        <v>15</v>
      </c>
      <c r="H14" s="112">
        <v>180</v>
      </c>
      <c r="I14" s="112">
        <v>173</v>
      </c>
      <c r="J14" s="350">
        <v>7</v>
      </c>
      <c r="K14" s="112">
        <v>2319</v>
      </c>
      <c r="L14" s="112">
        <v>1604</v>
      </c>
      <c r="M14" s="112">
        <v>715</v>
      </c>
      <c r="N14" s="359">
        <v>2003</v>
      </c>
      <c r="O14" s="359">
        <v>1364</v>
      </c>
      <c r="P14" s="363">
        <v>639</v>
      </c>
    </row>
    <row r="15" spans="1:16" ht="23.25" customHeight="1">
      <c r="A15" s="365" t="s">
        <v>442</v>
      </c>
      <c r="B15" s="112">
        <v>1890</v>
      </c>
      <c r="C15" s="112">
        <v>654</v>
      </c>
      <c r="D15" s="112">
        <v>1236</v>
      </c>
      <c r="E15" s="112">
        <v>1873</v>
      </c>
      <c r="F15" s="112">
        <v>581</v>
      </c>
      <c r="G15" s="112">
        <v>1292</v>
      </c>
      <c r="H15" s="112">
        <v>2046</v>
      </c>
      <c r="I15" s="112">
        <v>642</v>
      </c>
      <c r="J15" s="350">
        <v>1404</v>
      </c>
      <c r="K15" s="112">
        <v>567</v>
      </c>
      <c r="L15" s="112">
        <v>541</v>
      </c>
      <c r="M15" s="112">
        <v>26</v>
      </c>
      <c r="N15" s="359">
        <v>459</v>
      </c>
      <c r="O15" s="359">
        <v>443</v>
      </c>
      <c r="P15" s="363">
        <v>16</v>
      </c>
    </row>
    <row r="16" spans="1:16" ht="23.25" customHeight="1">
      <c r="A16" s="365" t="s">
        <v>441</v>
      </c>
      <c r="B16" s="112" t="s">
        <v>384</v>
      </c>
      <c r="C16" s="112" t="s">
        <v>384</v>
      </c>
      <c r="D16" s="112" t="s">
        <v>384</v>
      </c>
      <c r="E16" s="112" t="s">
        <v>384</v>
      </c>
      <c r="F16" s="112" t="s">
        <v>384</v>
      </c>
      <c r="G16" s="112" t="s">
        <v>384</v>
      </c>
      <c r="H16" s="112">
        <v>991</v>
      </c>
      <c r="I16" s="112">
        <v>971</v>
      </c>
      <c r="J16" s="350">
        <v>20</v>
      </c>
      <c r="K16" s="112">
        <v>906</v>
      </c>
      <c r="L16" s="112">
        <v>878</v>
      </c>
      <c r="M16" s="112">
        <v>28</v>
      </c>
      <c r="N16" s="359">
        <v>707</v>
      </c>
      <c r="O16" s="359">
        <v>691</v>
      </c>
      <c r="P16" s="363">
        <v>16</v>
      </c>
    </row>
    <row r="17" spans="1:16" ht="23.25" customHeight="1">
      <c r="A17" s="365" t="s">
        <v>440</v>
      </c>
      <c r="B17" s="112" t="s">
        <v>384</v>
      </c>
      <c r="C17" s="112" t="s">
        <v>384</v>
      </c>
      <c r="D17" s="112" t="s">
        <v>384</v>
      </c>
      <c r="E17" s="112" t="s">
        <v>384</v>
      </c>
      <c r="F17" s="112" t="s">
        <v>384</v>
      </c>
      <c r="G17" s="112" t="s">
        <v>384</v>
      </c>
      <c r="H17" s="112">
        <v>1132</v>
      </c>
      <c r="I17" s="112">
        <v>500</v>
      </c>
      <c r="J17" s="350">
        <v>632</v>
      </c>
      <c r="K17" s="364">
        <v>1131</v>
      </c>
      <c r="L17" s="364">
        <v>528</v>
      </c>
      <c r="M17" s="364">
        <v>603</v>
      </c>
      <c r="N17" s="359">
        <v>1034</v>
      </c>
      <c r="O17" s="359">
        <v>532</v>
      </c>
      <c r="P17" s="363">
        <v>502</v>
      </c>
    </row>
    <row r="18" spans="1:16" ht="23.25" customHeight="1" thickBot="1">
      <c r="A18" s="362" t="s">
        <v>439</v>
      </c>
      <c r="B18" s="120">
        <v>8</v>
      </c>
      <c r="C18" s="120">
        <v>3</v>
      </c>
      <c r="D18" s="120">
        <v>5</v>
      </c>
      <c r="E18" s="120">
        <v>98</v>
      </c>
      <c r="F18" s="120">
        <v>52</v>
      </c>
      <c r="G18" s="120">
        <v>46</v>
      </c>
      <c r="H18" s="120">
        <v>204</v>
      </c>
      <c r="I18" s="120">
        <v>131</v>
      </c>
      <c r="J18" s="351">
        <v>73</v>
      </c>
      <c r="K18" s="361">
        <v>319</v>
      </c>
      <c r="L18" s="361">
        <v>171</v>
      </c>
      <c r="M18" s="361">
        <v>148</v>
      </c>
      <c r="N18" s="360">
        <v>168</v>
      </c>
      <c r="O18" s="359">
        <v>92</v>
      </c>
      <c r="P18" s="358">
        <v>76</v>
      </c>
    </row>
    <row r="19" spans="1:16" ht="23.25" customHeight="1">
      <c r="A19" s="357" t="s">
        <v>405</v>
      </c>
      <c r="O19" s="356"/>
    </row>
    <row r="20" spans="1:16" ht="23.25" customHeight="1">
      <c r="A20" s="353" t="s">
        <v>438</v>
      </c>
    </row>
    <row r="31" spans="1:16" ht="23.25" customHeight="1">
      <c r="A31" s="355"/>
      <c r="K31" s="354"/>
      <c r="L31" s="355"/>
      <c r="M31" s="355"/>
    </row>
    <row r="32" spans="1:16" ht="23.25" customHeight="1">
      <c r="A32" s="355"/>
      <c r="K32" s="354"/>
      <c r="L32" s="354"/>
      <c r="M32" s="354"/>
    </row>
    <row r="33" spans="1:13" ht="23.25" customHeight="1">
      <c r="A33" s="354"/>
      <c r="K33" s="354"/>
      <c r="L33" s="354"/>
      <c r="M33" s="354"/>
    </row>
    <row r="34" spans="1:13" ht="23.25" customHeight="1">
      <c r="A34" s="354"/>
      <c r="K34" s="354"/>
      <c r="L34" s="354"/>
      <c r="M34" s="354"/>
    </row>
    <row r="35" spans="1:13" ht="23.25" customHeight="1">
      <c r="A35" s="354"/>
      <c r="K35" s="354"/>
      <c r="L35" s="354"/>
      <c r="M35" s="354"/>
    </row>
    <row r="36" spans="1:13" ht="23.25" customHeight="1">
      <c r="A36" s="354"/>
      <c r="K36" s="354"/>
      <c r="L36" s="354"/>
      <c r="M36" s="354"/>
    </row>
    <row r="37" spans="1:13" ht="23.25" customHeight="1">
      <c r="A37" s="354"/>
      <c r="K37" s="354"/>
      <c r="L37" s="354"/>
      <c r="M37" s="354"/>
    </row>
    <row r="38" spans="1:13" ht="23.25" customHeight="1">
      <c r="A38" s="354"/>
      <c r="K38" s="354"/>
      <c r="L38" s="354"/>
      <c r="M38" s="354"/>
    </row>
    <row r="39" spans="1:13" ht="23.25" customHeight="1">
      <c r="A39" s="354"/>
      <c r="K39" s="354"/>
      <c r="L39" s="354"/>
      <c r="M39" s="354"/>
    </row>
    <row r="40" spans="1:13" ht="23.25" customHeight="1">
      <c r="A40" s="354"/>
      <c r="K40" s="354"/>
      <c r="L40" s="354"/>
      <c r="M40" s="354"/>
    </row>
    <row r="41" spans="1:13" ht="23.25" customHeight="1">
      <c r="A41" s="354"/>
      <c r="K41" s="354"/>
      <c r="L41" s="354"/>
      <c r="M41" s="354"/>
    </row>
    <row r="42" spans="1:13" ht="23.25" customHeight="1">
      <c r="A42" s="354"/>
      <c r="K42" s="354"/>
      <c r="L42" s="354"/>
      <c r="M42" s="354"/>
    </row>
    <row r="43" spans="1:13" ht="23.25" customHeight="1">
      <c r="A43" s="354"/>
      <c r="K43" s="354"/>
      <c r="L43" s="354"/>
      <c r="M43" s="354"/>
    </row>
    <row r="44" spans="1:13" ht="23.25" customHeight="1">
      <c r="A44" s="354"/>
      <c r="K44" s="354"/>
      <c r="L44" s="354"/>
      <c r="M44" s="354"/>
    </row>
    <row r="45" spans="1:13" ht="23.25" customHeight="1">
      <c r="A45" s="354"/>
      <c r="K45" s="354"/>
      <c r="L45" s="354"/>
      <c r="M45" s="354"/>
    </row>
  </sheetData>
  <mergeCells count="7">
    <mergeCell ref="N2:P2"/>
    <mergeCell ref="A3:A4"/>
    <mergeCell ref="K3:M3"/>
    <mergeCell ref="N3:P3"/>
    <mergeCell ref="B3:D3"/>
    <mergeCell ref="E3:G3"/>
    <mergeCell ref="H3:J3"/>
  </mergeCells>
  <phoneticPr fontId="4"/>
  <printOptions horizontalCentered="1"/>
  <pageMargins left="0.70866141732283472" right="0.70866141732283472" top="0.74803149606299213" bottom="0.74803149606299213" header="0.31496062992125984" footer="0.31496062992125984"/>
  <pageSetup paperSize="9" scale="9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0B65-AC2E-4677-A939-4D7D42295E38}">
  <sheetPr codeName="Sheet24">
    <pageSetUpPr fitToPage="1"/>
  </sheetPr>
  <dimension ref="A1:L10"/>
  <sheetViews>
    <sheetView showGridLines="0" workbookViewId="0"/>
  </sheetViews>
  <sheetFormatPr defaultRowHeight="27" customHeight="1"/>
  <cols>
    <col min="1" max="12" width="7.09765625" style="82" customWidth="1"/>
    <col min="13" max="13" width="7" style="82" customWidth="1"/>
    <col min="14" max="256" width="9" style="82"/>
    <col min="257" max="268" width="7.09765625" style="82" customWidth="1"/>
    <col min="269" max="269" width="7" style="82" customWidth="1"/>
    <col min="270" max="512" width="9" style="82"/>
    <col min="513" max="524" width="7.09765625" style="82" customWidth="1"/>
    <col min="525" max="525" width="7" style="82" customWidth="1"/>
    <col min="526" max="768" width="9" style="82"/>
    <col min="769" max="780" width="7.09765625" style="82" customWidth="1"/>
    <col min="781" max="781" width="7" style="82" customWidth="1"/>
    <col min="782" max="1024" width="9" style="82"/>
    <col min="1025" max="1036" width="7.09765625" style="82" customWidth="1"/>
    <col min="1037" max="1037" width="7" style="82" customWidth="1"/>
    <col min="1038" max="1280" width="9" style="82"/>
    <col min="1281" max="1292" width="7.09765625" style="82" customWidth="1"/>
    <col min="1293" max="1293" width="7" style="82" customWidth="1"/>
    <col min="1294" max="1536" width="9" style="82"/>
    <col min="1537" max="1548" width="7.09765625" style="82" customWidth="1"/>
    <col min="1549" max="1549" width="7" style="82" customWidth="1"/>
    <col min="1550" max="1792" width="9" style="82"/>
    <col min="1793" max="1804" width="7.09765625" style="82" customWidth="1"/>
    <col min="1805" max="1805" width="7" style="82" customWidth="1"/>
    <col min="1806" max="2048" width="9" style="82"/>
    <col min="2049" max="2060" width="7.09765625" style="82" customWidth="1"/>
    <col min="2061" max="2061" width="7" style="82" customWidth="1"/>
    <col min="2062" max="2304" width="9" style="82"/>
    <col min="2305" max="2316" width="7.09765625" style="82" customWidth="1"/>
    <col min="2317" max="2317" width="7" style="82" customWidth="1"/>
    <col min="2318" max="2560" width="9" style="82"/>
    <col min="2561" max="2572" width="7.09765625" style="82" customWidth="1"/>
    <col min="2573" max="2573" width="7" style="82" customWidth="1"/>
    <col min="2574" max="2816" width="9" style="82"/>
    <col min="2817" max="2828" width="7.09765625" style="82" customWidth="1"/>
    <col min="2829" max="2829" width="7" style="82" customWidth="1"/>
    <col min="2830" max="3072" width="9" style="82"/>
    <col min="3073" max="3084" width="7.09765625" style="82" customWidth="1"/>
    <col min="3085" max="3085" width="7" style="82" customWidth="1"/>
    <col min="3086" max="3328" width="9" style="82"/>
    <col min="3329" max="3340" width="7.09765625" style="82" customWidth="1"/>
    <col min="3341" max="3341" width="7" style="82" customWidth="1"/>
    <col min="3342" max="3584" width="9" style="82"/>
    <col min="3585" max="3596" width="7.09765625" style="82" customWidth="1"/>
    <col min="3597" max="3597" width="7" style="82" customWidth="1"/>
    <col min="3598" max="3840" width="9" style="82"/>
    <col min="3841" max="3852" width="7.09765625" style="82" customWidth="1"/>
    <col min="3853" max="3853" width="7" style="82" customWidth="1"/>
    <col min="3854" max="4096" width="9" style="82"/>
    <col min="4097" max="4108" width="7.09765625" style="82" customWidth="1"/>
    <col min="4109" max="4109" width="7" style="82" customWidth="1"/>
    <col min="4110" max="4352" width="9" style="82"/>
    <col min="4353" max="4364" width="7.09765625" style="82" customWidth="1"/>
    <col min="4365" max="4365" width="7" style="82" customWidth="1"/>
    <col min="4366" max="4608" width="9" style="82"/>
    <col min="4609" max="4620" width="7.09765625" style="82" customWidth="1"/>
    <col min="4621" max="4621" width="7" style="82" customWidth="1"/>
    <col min="4622" max="4864" width="9" style="82"/>
    <col min="4865" max="4876" width="7.09765625" style="82" customWidth="1"/>
    <col min="4877" max="4877" width="7" style="82" customWidth="1"/>
    <col min="4878" max="5120" width="9" style="82"/>
    <col min="5121" max="5132" width="7.09765625" style="82" customWidth="1"/>
    <col min="5133" max="5133" width="7" style="82" customWidth="1"/>
    <col min="5134" max="5376" width="9" style="82"/>
    <col min="5377" max="5388" width="7.09765625" style="82" customWidth="1"/>
    <col min="5389" max="5389" width="7" style="82" customWidth="1"/>
    <col min="5390" max="5632" width="9" style="82"/>
    <col min="5633" max="5644" width="7.09765625" style="82" customWidth="1"/>
    <col min="5645" max="5645" width="7" style="82" customWidth="1"/>
    <col min="5646" max="5888" width="9" style="82"/>
    <col min="5889" max="5900" width="7.09765625" style="82" customWidth="1"/>
    <col min="5901" max="5901" width="7" style="82" customWidth="1"/>
    <col min="5902" max="6144" width="9" style="82"/>
    <col min="6145" max="6156" width="7.09765625" style="82" customWidth="1"/>
    <col min="6157" max="6157" width="7" style="82" customWidth="1"/>
    <col min="6158" max="6400" width="9" style="82"/>
    <col min="6401" max="6412" width="7.09765625" style="82" customWidth="1"/>
    <col min="6413" max="6413" width="7" style="82" customWidth="1"/>
    <col min="6414" max="6656" width="9" style="82"/>
    <col min="6657" max="6668" width="7.09765625" style="82" customWidth="1"/>
    <col min="6669" max="6669" width="7" style="82" customWidth="1"/>
    <col min="6670" max="6912" width="9" style="82"/>
    <col min="6913" max="6924" width="7.09765625" style="82" customWidth="1"/>
    <col min="6925" max="6925" width="7" style="82" customWidth="1"/>
    <col min="6926" max="7168" width="9" style="82"/>
    <col min="7169" max="7180" width="7.09765625" style="82" customWidth="1"/>
    <col min="7181" max="7181" width="7" style="82" customWidth="1"/>
    <col min="7182" max="7424" width="9" style="82"/>
    <col min="7425" max="7436" width="7.09765625" style="82" customWidth="1"/>
    <col min="7437" max="7437" width="7" style="82" customWidth="1"/>
    <col min="7438" max="7680" width="9" style="82"/>
    <col min="7681" max="7692" width="7.09765625" style="82" customWidth="1"/>
    <col min="7693" max="7693" width="7" style="82" customWidth="1"/>
    <col min="7694" max="7936" width="9" style="82"/>
    <col min="7937" max="7948" width="7.09765625" style="82" customWidth="1"/>
    <col min="7949" max="7949" width="7" style="82" customWidth="1"/>
    <col min="7950" max="8192" width="9" style="82"/>
    <col min="8193" max="8204" width="7.09765625" style="82" customWidth="1"/>
    <col min="8205" max="8205" width="7" style="82" customWidth="1"/>
    <col min="8206" max="8448" width="9" style="82"/>
    <col min="8449" max="8460" width="7.09765625" style="82" customWidth="1"/>
    <col min="8461" max="8461" width="7" style="82" customWidth="1"/>
    <col min="8462" max="8704" width="9" style="82"/>
    <col min="8705" max="8716" width="7.09765625" style="82" customWidth="1"/>
    <col min="8717" max="8717" width="7" style="82" customWidth="1"/>
    <col min="8718" max="8960" width="9" style="82"/>
    <col min="8961" max="8972" width="7.09765625" style="82" customWidth="1"/>
    <col min="8973" max="8973" width="7" style="82" customWidth="1"/>
    <col min="8974" max="9216" width="9" style="82"/>
    <col min="9217" max="9228" width="7.09765625" style="82" customWidth="1"/>
    <col min="9229" max="9229" width="7" style="82" customWidth="1"/>
    <col min="9230" max="9472" width="9" style="82"/>
    <col min="9473" max="9484" width="7.09765625" style="82" customWidth="1"/>
    <col min="9485" max="9485" width="7" style="82" customWidth="1"/>
    <col min="9486" max="9728" width="9" style="82"/>
    <col min="9729" max="9740" width="7.09765625" style="82" customWidth="1"/>
    <col min="9741" max="9741" width="7" style="82" customWidth="1"/>
    <col min="9742" max="9984" width="9" style="82"/>
    <col min="9985" max="9996" width="7.09765625" style="82" customWidth="1"/>
    <col min="9997" max="9997" width="7" style="82" customWidth="1"/>
    <col min="9998" max="10240" width="9" style="82"/>
    <col min="10241" max="10252" width="7.09765625" style="82" customWidth="1"/>
    <col min="10253" max="10253" width="7" style="82" customWidth="1"/>
    <col min="10254" max="10496" width="9" style="82"/>
    <col min="10497" max="10508" width="7.09765625" style="82" customWidth="1"/>
    <col min="10509" max="10509" width="7" style="82" customWidth="1"/>
    <col min="10510" max="10752" width="9" style="82"/>
    <col min="10753" max="10764" width="7.09765625" style="82" customWidth="1"/>
    <col min="10765" max="10765" width="7" style="82" customWidth="1"/>
    <col min="10766" max="11008" width="9" style="82"/>
    <col min="11009" max="11020" width="7.09765625" style="82" customWidth="1"/>
    <col min="11021" max="11021" width="7" style="82" customWidth="1"/>
    <col min="11022" max="11264" width="9" style="82"/>
    <col min="11265" max="11276" width="7.09765625" style="82" customWidth="1"/>
    <col min="11277" max="11277" width="7" style="82" customWidth="1"/>
    <col min="11278" max="11520" width="9" style="82"/>
    <col min="11521" max="11532" width="7.09765625" style="82" customWidth="1"/>
    <col min="11533" max="11533" width="7" style="82" customWidth="1"/>
    <col min="11534" max="11776" width="9" style="82"/>
    <col min="11777" max="11788" width="7.09765625" style="82" customWidth="1"/>
    <col min="11789" max="11789" width="7" style="82" customWidth="1"/>
    <col min="11790" max="12032" width="9" style="82"/>
    <col min="12033" max="12044" width="7.09765625" style="82" customWidth="1"/>
    <col min="12045" max="12045" width="7" style="82" customWidth="1"/>
    <col min="12046" max="12288" width="9" style="82"/>
    <col min="12289" max="12300" width="7.09765625" style="82" customWidth="1"/>
    <col min="12301" max="12301" width="7" style="82" customWidth="1"/>
    <col min="12302" max="12544" width="9" style="82"/>
    <col min="12545" max="12556" width="7.09765625" style="82" customWidth="1"/>
    <col min="12557" max="12557" width="7" style="82" customWidth="1"/>
    <col min="12558" max="12800" width="9" style="82"/>
    <col min="12801" max="12812" width="7.09765625" style="82" customWidth="1"/>
    <col min="12813" max="12813" width="7" style="82" customWidth="1"/>
    <col min="12814" max="13056" width="9" style="82"/>
    <col min="13057" max="13068" width="7.09765625" style="82" customWidth="1"/>
    <col min="13069" max="13069" width="7" style="82" customWidth="1"/>
    <col min="13070" max="13312" width="9" style="82"/>
    <col min="13313" max="13324" width="7.09765625" style="82" customWidth="1"/>
    <col min="13325" max="13325" width="7" style="82" customWidth="1"/>
    <col min="13326" max="13568" width="9" style="82"/>
    <col min="13569" max="13580" width="7.09765625" style="82" customWidth="1"/>
    <col min="13581" max="13581" width="7" style="82" customWidth="1"/>
    <col min="13582" max="13824" width="9" style="82"/>
    <col min="13825" max="13836" width="7.09765625" style="82" customWidth="1"/>
    <col min="13837" max="13837" width="7" style="82" customWidth="1"/>
    <col min="13838" max="14080" width="9" style="82"/>
    <col min="14081" max="14092" width="7.09765625" style="82" customWidth="1"/>
    <col min="14093" max="14093" width="7" style="82" customWidth="1"/>
    <col min="14094" max="14336" width="9" style="82"/>
    <col min="14337" max="14348" width="7.09765625" style="82" customWidth="1"/>
    <col min="14349" max="14349" width="7" style="82" customWidth="1"/>
    <col min="14350" max="14592" width="9" style="82"/>
    <col min="14593" max="14604" width="7.09765625" style="82" customWidth="1"/>
    <col min="14605" max="14605" width="7" style="82" customWidth="1"/>
    <col min="14606" max="14848" width="9" style="82"/>
    <col min="14849" max="14860" width="7.09765625" style="82" customWidth="1"/>
    <col min="14861" max="14861" width="7" style="82" customWidth="1"/>
    <col min="14862" max="15104" width="9" style="82"/>
    <col min="15105" max="15116" width="7.09765625" style="82" customWidth="1"/>
    <col min="15117" max="15117" width="7" style="82" customWidth="1"/>
    <col min="15118" max="15360" width="9" style="82"/>
    <col min="15361" max="15372" width="7.09765625" style="82" customWidth="1"/>
    <col min="15373" max="15373" width="7" style="82" customWidth="1"/>
    <col min="15374" max="15616" width="9" style="82"/>
    <col min="15617" max="15628" width="7.09765625" style="82" customWidth="1"/>
    <col min="15629" max="15629" width="7" style="82" customWidth="1"/>
    <col min="15630" max="15872" width="9" style="82"/>
    <col min="15873" max="15884" width="7.09765625" style="82" customWidth="1"/>
    <col min="15885" max="15885" width="7" style="82" customWidth="1"/>
    <col min="15886" max="16128" width="9" style="82"/>
    <col min="16129" max="16140" width="7.09765625" style="82" customWidth="1"/>
    <col min="16141" max="16141" width="7" style="82" customWidth="1"/>
    <col min="16142" max="16384" width="9" style="82"/>
  </cols>
  <sheetData>
    <row r="1" spans="1:12" ht="30" customHeight="1">
      <c r="A1" s="188" t="s">
        <v>458</v>
      </c>
      <c r="B1" s="188"/>
      <c r="C1" s="188"/>
      <c r="D1" s="188"/>
      <c r="E1" s="188"/>
      <c r="F1" s="188"/>
      <c r="G1" s="188"/>
      <c r="J1" s="30"/>
      <c r="L1" s="223"/>
    </row>
    <row r="2" spans="1:12" ht="16.8" thickBot="1">
      <c r="A2" s="373"/>
      <c r="B2" s="373"/>
      <c r="C2" s="373"/>
      <c r="D2" s="373"/>
      <c r="E2" s="373"/>
      <c r="F2" s="373"/>
      <c r="G2" s="373"/>
      <c r="H2" s="374"/>
      <c r="I2" s="374"/>
      <c r="J2" s="375"/>
      <c r="K2" s="376" t="s">
        <v>459</v>
      </c>
      <c r="L2" s="223"/>
    </row>
    <row r="3" spans="1:12" s="11" customFormat="1" ht="27" customHeight="1">
      <c r="A3" s="2271" t="s">
        <v>460</v>
      </c>
      <c r="B3" s="2271"/>
      <c r="C3" s="2271"/>
      <c r="D3" s="2271"/>
      <c r="E3" s="2271"/>
      <c r="F3" s="2271"/>
      <c r="G3" s="2271"/>
      <c r="H3" s="2271"/>
      <c r="I3" s="2271"/>
      <c r="J3" s="2271"/>
      <c r="K3" s="2271"/>
    </row>
    <row r="4" spans="1:12" s="11" customFormat="1" ht="27" customHeight="1">
      <c r="A4" s="2191" t="s">
        <v>461</v>
      </c>
      <c r="B4" s="2272" t="s">
        <v>208</v>
      </c>
      <c r="C4" s="2272"/>
      <c r="D4" s="2272"/>
      <c r="E4" s="2272"/>
      <c r="F4" s="2272"/>
      <c r="G4" s="2272"/>
      <c r="H4" s="2272"/>
      <c r="I4" s="2273"/>
      <c r="J4" s="2192" t="s">
        <v>461</v>
      </c>
      <c r="K4" s="2194" t="s">
        <v>462</v>
      </c>
    </row>
    <row r="5" spans="1:12" s="11" customFormat="1" ht="27" customHeight="1">
      <c r="A5" s="2181"/>
      <c r="B5" s="2274" t="s">
        <v>207</v>
      </c>
      <c r="C5" s="2276" t="s">
        <v>463</v>
      </c>
      <c r="D5" s="2269" t="s">
        <v>464</v>
      </c>
      <c r="E5" s="2269" t="s">
        <v>465</v>
      </c>
      <c r="F5" s="2269" t="s">
        <v>466</v>
      </c>
      <c r="G5" s="2269" t="s">
        <v>467</v>
      </c>
      <c r="H5" s="2269" t="s">
        <v>468</v>
      </c>
      <c r="I5" s="2269" t="s">
        <v>469</v>
      </c>
      <c r="J5" s="2198"/>
      <c r="K5" s="2188"/>
    </row>
    <row r="6" spans="1:12" s="11" customFormat="1" ht="27" customHeight="1">
      <c r="A6" s="2182"/>
      <c r="B6" s="2275"/>
      <c r="C6" s="2277"/>
      <c r="D6" s="2270"/>
      <c r="E6" s="2270"/>
      <c r="F6" s="2270"/>
      <c r="G6" s="2270"/>
      <c r="H6" s="2270"/>
      <c r="I6" s="2270"/>
      <c r="J6" s="2193"/>
      <c r="K6" s="2189"/>
    </row>
    <row r="7" spans="1:12" s="11" customFormat="1" ht="27" customHeight="1">
      <c r="A7" s="131">
        <v>17</v>
      </c>
      <c r="B7" s="377">
        <v>11225</v>
      </c>
      <c r="C7" s="378">
        <v>2497</v>
      </c>
      <c r="D7" s="378">
        <v>3234</v>
      </c>
      <c r="E7" s="378">
        <v>2047</v>
      </c>
      <c r="F7" s="378">
        <v>1697</v>
      </c>
      <c r="G7" s="378">
        <v>894</v>
      </c>
      <c r="H7" s="378">
        <v>563</v>
      </c>
      <c r="I7" s="378">
        <v>293</v>
      </c>
      <c r="J7" s="377">
        <v>31854</v>
      </c>
      <c r="K7" s="379">
        <v>2.84</v>
      </c>
    </row>
    <row r="8" spans="1:12" s="11" customFormat="1" ht="27" customHeight="1">
      <c r="A8" s="40">
        <v>27</v>
      </c>
      <c r="B8" s="377">
        <v>10798</v>
      </c>
      <c r="C8" s="378">
        <v>2929</v>
      </c>
      <c r="D8" s="378">
        <v>3340</v>
      </c>
      <c r="E8" s="378">
        <v>2008</v>
      </c>
      <c r="F8" s="378">
        <v>1369</v>
      </c>
      <c r="G8" s="378">
        <v>653</v>
      </c>
      <c r="H8" s="378">
        <v>348</v>
      </c>
      <c r="I8" s="378">
        <v>151</v>
      </c>
      <c r="J8" s="377">
        <v>27550</v>
      </c>
      <c r="K8" s="379">
        <f>J8/B8</f>
        <v>2.551398407112428</v>
      </c>
    </row>
    <row r="9" spans="1:12" s="11" customFormat="1" ht="27" customHeight="1" thickBot="1">
      <c r="A9" s="203" t="s">
        <v>43</v>
      </c>
      <c r="B9" s="380">
        <f>+SUM(C9:I9)</f>
        <v>10706</v>
      </c>
      <c r="C9" s="380">
        <v>3306</v>
      </c>
      <c r="D9" s="380">
        <v>3428</v>
      </c>
      <c r="E9" s="380">
        <v>1892</v>
      </c>
      <c r="F9" s="380">
        <v>1193</v>
      </c>
      <c r="G9" s="380">
        <v>559</v>
      </c>
      <c r="H9" s="380">
        <v>227</v>
      </c>
      <c r="I9" s="380">
        <v>101</v>
      </c>
      <c r="J9" s="381">
        <v>25502</v>
      </c>
      <c r="K9" s="382">
        <f>IFERROR(J9/B9,"")</f>
        <v>2.3820287689146271</v>
      </c>
    </row>
    <row r="10" spans="1:12" s="11" customFormat="1" ht="27" customHeight="1">
      <c r="A10" s="11" t="s">
        <v>470</v>
      </c>
    </row>
  </sheetData>
  <mergeCells count="13">
    <mergeCell ref="G5:G6"/>
    <mergeCell ref="H5:H6"/>
    <mergeCell ref="I5:I6"/>
    <mergeCell ref="A3:K3"/>
    <mergeCell ref="A4:A6"/>
    <mergeCell ref="B4:I4"/>
    <mergeCell ref="J4:J6"/>
    <mergeCell ref="K4:K6"/>
    <mergeCell ref="B5:B6"/>
    <mergeCell ref="C5:C6"/>
    <mergeCell ref="D5:D6"/>
    <mergeCell ref="E5:E6"/>
    <mergeCell ref="F5:F6"/>
  </mergeCells>
  <phoneticPr fontId="4"/>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1AB2-F84D-451A-8CFB-E2FD45A9C3EB}">
  <sheetPr codeName="Sheet25">
    <pageSetUpPr fitToPage="1"/>
  </sheetPr>
  <dimension ref="A1:P46"/>
  <sheetViews>
    <sheetView showGridLines="0" workbookViewId="0">
      <selection activeCell="D1" sqref="D1"/>
    </sheetView>
  </sheetViews>
  <sheetFormatPr defaultRowHeight="13.2"/>
  <cols>
    <col min="1" max="1" width="2.59765625" style="82" customWidth="1"/>
    <col min="2" max="2" width="2" style="82" customWidth="1"/>
    <col min="3" max="3" width="1.8984375" style="82" customWidth="1"/>
    <col min="4" max="4" width="25" style="82" customWidth="1"/>
    <col min="5" max="13" width="10.59765625" style="82" customWidth="1"/>
    <col min="14" max="14" width="7" style="82" customWidth="1"/>
    <col min="15" max="262" width="9" style="82"/>
    <col min="263" max="263" width="2.59765625" style="82" customWidth="1"/>
    <col min="264" max="264" width="2" style="82" customWidth="1"/>
    <col min="265" max="265" width="1.8984375" style="82" customWidth="1"/>
    <col min="266" max="266" width="25" style="82" customWidth="1"/>
    <col min="267" max="269" width="10.59765625" style="82" customWidth="1"/>
    <col min="270" max="270" width="7" style="82" customWidth="1"/>
    <col min="271" max="518" width="9" style="82"/>
    <col min="519" max="519" width="2.59765625" style="82" customWidth="1"/>
    <col min="520" max="520" width="2" style="82" customWidth="1"/>
    <col min="521" max="521" width="1.8984375" style="82" customWidth="1"/>
    <col min="522" max="522" width="25" style="82" customWidth="1"/>
    <col min="523" max="525" width="10.59765625" style="82" customWidth="1"/>
    <col min="526" max="526" width="7" style="82" customWidth="1"/>
    <col min="527" max="774" width="9" style="82"/>
    <col min="775" max="775" width="2.59765625" style="82" customWidth="1"/>
    <col min="776" max="776" width="2" style="82" customWidth="1"/>
    <col min="777" max="777" width="1.8984375" style="82" customWidth="1"/>
    <col min="778" max="778" width="25" style="82" customWidth="1"/>
    <col min="779" max="781" width="10.59765625" style="82" customWidth="1"/>
    <col min="782" max="782" width="7" style="82" customWidth="1"/>
    <col min="783" max="1030" width="9" style="82"/>
    <col min="1031" max="1031" width="2.59765625" style="82" customWidth="1"/>
    <col min="1032" max="1032" width="2" style="82" customWidth="1"/>
    <col min="1033" max="1033" width="1.8984375" style="82" customWidth="1"/>
    <col min="1034" max="1034" width="25" style="82" customWidth="1"/>
    <col min="1035" max="1037" width="10.59765625" style="82" customWidth="1"/>
    <col min="1038" max="1038" width="7" style="82" customWidth="1"/>
    <col min="1039" max="1286" width="9" style="82"/>
    <col min="1287" max="1287" width="2.59765625" style="82" customWidth="1"/>
    <col min="1288" max="1288" width="2" style="82" customWidth="1"/>
    <col min="1289" max="1289" width="1.8984375" style="82" customWidth="1"/>
    <col min="1290" max="1290" width="25" style="82" customWidth="1"/>
    <col min="1291" max="1293" width="10.59765625" style="82" customWidth="1"/>
    <col min="1294" max="1294" width="7" style="82" customWidth="1"/>
    <col min="1295" max="1542" width="9" style="82"/>
    <col min="1543" max="1543" width="2.59765625" style="82" customWidth="1"/>
    <col min="1544" max="1544" width="2" style="82" customWidth="1"/>
    <col min="1545" max="1545" width="1.8984375" style="82" customWidth="1"/>
    <col min="1546" max="1546" width="25" style="82" customWidth="1"/>
    <col min="1547" max="1549" width="10.59765625" style="82" customWidth="1"/>
    <col min="1550" max="1550" width="7" style="82" customWidth="1"/>
    <col min="1551" max="1798" width="9" style="82"/>
    <col min="1799" max="1799" width="2.59765625" style="82" customWidth="1"/>
    <col min="1800" max="1800" width="2" style="82" customWidth="1"/>
    <col min="1801" max="1801" width="1.8984375" style="82" customWidth="1"/>
    <col min="1802" max="1802" width="25" style="82" customWidth="1"/>
    <col min="1803" max="1805" width="10.59765625" style="82" customWidth="1"/>
    <col min="1806" max="1806" width="7" style="82" customWidth="1"/>
    <col min="1807" max="2054" width="9" style="82"/>
    <col min="2055" max="2055" width="2.59765625" style="82" customWidth="1"/>
    <col min="2056" max="2056" width="2" style="82" customWidth="1"/>
    <col min="2057" max="2057" width="1.8984375" style="82" customWidth="1"/>
    <col min="2058" max="2058" width="25" style="82" customWidth="1"/>
    <col min="2059" max="2061" width="10.59765625" style="82" customWidth="1"/>
    <col min="2062" max="2062" width="7" style="82" customWidth="1"/>
    <col min="2063" max="2310" width="9" style="82"/>
    <col min="2311" max="2311" width="2.59765625" style="82" customWidth="1"/>
    <col min="2312" max="2312" width="2" style="82" customWidth="1"/>
    <col min="2313" max="2313" width="1.8984375" style="82" customWidth="1"/>
    <col min="2314" max="2314" width="25" style="82" customWidth="1"/>
    <col min="2315" max="2317" width="10.59765625" style="82" customWidth="1"/>
    <col min="2318" max="2318" width="7" style="82" customWidth="1"/>
    <col min="2319" max="2566" width="9" style="82"/>
    <col min="2567" max="2567" width="2.59765625" style="82" customWidth="1"/>
    <col min="2568" max="2568" width="2" style="82" customWidth="1"/>
    <col min="2569" max="2569" width="1.8984375" style="82" customWidth="1"/>
    <col min="2570" max="2570" width="25" style="82" customWidth="1"/>
    <col min="2571" max="2573" width="10.59765625" style="82" customWidth="1"/>
    <col min="2574" max="2574" width="7" style="82" customWidth="1"/>
    <col min="2575" max="2822" width="9" style="82"/>
    <col min="2823" max="2823" width="2.59765625" style="82" customWidth="1"/>
    <col min="2824" max="2824" width="2" style="82" customWidth="1"/>
    <col min="2825" max="2825" width="1.8984375" style="82" customWidth="1"/>
    <col min="2826" max="2826" width="25" style="82" customWidth="1"/>
    <col min="2827" max="2829" width="10.59765625" style="82" customWidth="1"/>
    <col min="2830" max="2830" width="7" style="82" customWidth="1"/>
    <col min="2831" max="3078" width="9" style="82"/>
    <col min="3079" max="3079" width="2.59765625" style="82" customWidth="1"/>
    <col min="3080" max="3080" width="2" style="82" customWidth="1"/>
    <col min="3081" max="3081" width="1.8984375" style="82" customWidth="1"/>
    <col min="3082" max="3082" width="25" style="82" customWidth="1"/>
    <col min="3083" max="3085" width="10.59765625" style="82" customWidth="1"/>
    <col min="3086" max="3086" width="7" style="82" customWidth="1"/>
    <col min="3087" max="3334" width="9" style="82"/>
    <col min="3335" max="3335" width="2.59765625" style="82" customWidth="1"/>
    <col min="3336" max="3336" width="2" style="82" customWidth="1"/>
    <col min="3337" max="3337" width="1.8984375" style="82" customWidth="1"/>
    <col min="3338" max="3338" width="25" style="82" customWidth="1"/>
    <col min="3339" max="3341" width="10.59765625" style="82" customWidth="1"/>
    <col min="3342" max="3342" width="7" style="82" customWidth="1"/>
    <col min="3343" max="3590" width="9" style="82"/>
    <col min="3591" max="3591" width="2.59765625" style="82" customWidth="1"/>
    <col min="3592" max="3592" width="2" style="82" customWidth="1"/>
    <col min="3593" max="3593" width="1.8984375" style="82" customWidth="1"/>
    <col min="3594" max="3594" width="25" style="82" customWidth="1"/>
    <col min="3595" max="3597" width="10.59765625" style="82" customWidth="1"/>
    <col min="3598" max="3598" width="7" style="82" customWidth="1"/>
    <col min="3599" max="3846" width="9" style="82"/>
    <col min="3847" max="3847" width="2.59765625" style="82" customWidth="1"/>
    <col min="3848" max="3848" width="2" style="82" customWidth="1"/>
    <col min="3849" max="3849" width="1.8984375" style="82" customWidth="1"/>
    <col min="3850" max="3850" width="25" style="82" customWidth="1"/>
    <col min="3851" max="3853" width="10.59765625" style="82" customWidth="1"/>
    <col min="3854" max="3854" width="7" style="82" customWidth="1"/>
    <col min="3855" max="4102" width="9" style="82"/>
    <col min="4103" max="4103" width="2.59765625" style="82" customWidth="1"/>
    <col min="4104" max="4104" width="2" style="82" customWidth="1"/>
    <col min="4105" max="4105" width="1.8984375" style="82" customWidth="1"/>
    <col min="4106" max="4106" width="25" style="82" customWidth="1"/>
    <col min="4107" max="4109" width="10.59765625" style="82" customWidth="1"/>
    <col min="4110" max="4110" width="7" style="82" customWidth="1"/>
    <col min="4111" max="4358" width="9" style="82"/>
    <col min="4359" max="4359" width="2.59765625" style="82" customWidth="1"/>
    <col min="4360" max="4360" width="2" style="82" customWidth="1"/>
    <col min="4361" max="4361" width="1.8984375" style="82" customWidth="1"/>
    <col min="4362" max="4362" width="25" style="82" customWidth="1"/>
    <col min="4363" max="4365" width="10.59765625" style="82" customWidth="1"/>
    <col min="4366" max="4366" width="7" style="82" customWidth="1"/>
    <col min="4367" max="4614" width="9" style="82"/>
    <col min="4615" max="4615" width="2.59765625" style="82" customWidth="1"/>
    <col min="4616" max="4616" width="2" style="82" customWidth="1"/>
    <col min="4617" max="4617" width="1.8984375" style="82" customWidth="1"/>
    <col min="4618" max="4618" width="25" style="82" customWidth="1"/>
    <col min="4619" max="4621" width="10.59765625" style="82" customWidth="1"/>
    <col min="4622" max="4622" width="7" style="82" customWidth="1"/>
    <col min="4623" max="4870" width="9" style="82"/>
    <col min="4871" max="4871" width="2.59765625" style="82" customWidth="1"/>
    <col min="4872" max="4872" width="2" style="82" customWidth="1"/>
    <col min="4873" max="4873" width="1.8984375" style="82" customWidth="1"/>
    <col min="4874" max="4874" width="25" style="82" customWidth="1"/>
    <col min="4875" max="4877" width="10.59765625" style="82" customWidth="1"/>
    <col min="4878" max="4878" width="7" style="82" customWidth="1"/>
    <col min="4879" max="5126" width="9" style="82"/>
    <col min="5127" max="5127" width="2.59765625" style="82" customWidth="1"/>
    <col min="5128" max="5128" width="2" style="82" customWidth="1"/>
    <col min="5129" max="5129" width="1.8984375" style="82" customWidth="1"/>
    <col min="5130" max="5130" width="25" style="82" customWidth="1"/>
    <col min="5131" max="5133" width="10.59765625" style="82" customWidth="1"/>
    <col min="5134" max="5134" width="7" style="82" customWidth="1"/>
    <col min="5135" max="5382" width="9" style="82"/>
    <col min="5383" max="5383" width="2.59765625" style="82" customWidth="1"/>
    <col min="5384" max="5384" width="2" style="82" customWidth="1"/>
    <col min="5385" max="5385" width="1.8984375" style="82" customWidth="1"/>
    <col min="5386" max="5386" width="25" style="82" customWidth="1"/>
    <col min="5387" max="5389" width="10.59765625" style="82" customWidth="1"/>
    <col min="5390" max="5390" width="7" style="82" customWidth="1"/>
    <col min="5391" max="5638" width="9" style="82"/>
    <col min="5639" max="5639" width="2.59765625" style="82" customWidth="1"/>
    <col min="5640" max="5640" width="2" style="82" customWidth="1"/>
    <col min="5641" max="5641" width="1.8984375" style="82" customWidth="1"/>
    <col min="5642" max="5642" width="25" style="82" customWidth="1"/>
    <col min="5643" max="5645" width="10.59765625" style="82" customWidth="1"/>
    <col min="5646" max="5646" width="7" style="82" customWidth="1"/>
    <col min="5647" max="5894" width="9" style="82"/>
    <col min="5895" max="5895" width="2.59765625" style="82" customWidth="1"/>
    <col min="5896" max="5896" width="2" style="82" customWidth="1"/>
    <col min="5897" max="5897" width="1.8984375" style="82" customWidth="1"/>
    <col min="5898" max="5898" width="25" style="82" customWidth="1"/>
    <col min="5899" max="5901" width="10.59765625" style="82" customWidth="1"/>
    <col min="5902" max="5902" width="7" style="82" customWidth="1"/>
    <col min="5903" max="6150" width="9" style="82"/>
    <col min="6151" max="6151" width="2.59765625" style="82" customWidth="1"/>
    <col min="6152" max="6152" width="2" style="82" customWidth="1"/>
    <col min="6153" max="6153" width="1.8984375" style="82" customWidth="1"/>
    <col min="6154" max="6154" width="25" style="82" customWidth="1"/>
    <col min="6155" max="6157" width="10.59765625" style="82" customWidth="1"/>
    <col min="6158" max="6158" width="7" style="82" customWidth="1"/>
    <col min="6159" max="6406" width="9" style="82"/>
    <col min="6407" max="6407" width="2.59765625" style="82" customWidth="1"/>
    <col min="6408" max="6408" width="2" style="82" customWidth="1"/>
    <col min="6409" max="6409" width="1.8984375" style="82" customWidth="1"/>
    <col min="6410" max="6410" width="25" style="82" customWidth="1"/>
    <col min="6411" max="6413" width="10.59765625" style="82" customWidth="1"/>
    <col min="6414" max="6414" width="7" style="82" customWidth="1"/>
    <col min="6415" max="6662" width="9" style="82"/>
    <col min="6663" max="6663" width="2.59765625" style="82" customWidth="1"/>
    <col min="6664" max="6664" width="2" style="82" customWidth="1"/>
    <col min="6665" max="6665" width="1.8984375" style="82" customWidth="1"/>
    <col min="6666" max="6666" width="25" style="82" customWidth="1"/>
    <col min="6667" max="6669" width="10.59765625" style="82" customWidth="1"/>
    <col min="6670" max="6670" width="7" style="82" customWidth="1"/>
    <col min="6671" max="6918" width="9" style="82"/>
    <col min="6919" max="6919" width="2.59765625" style="82" customWidth="1"/>
    <col min="6920" max="6920" width="2" style="82" customWidth="1"/>
    <col min="6921" max="6921" width="1.8984375" style="82" customWidth="1"/>
    <col min="6922" max="6922" width="25" style="82" customWidth="1"/>
    <col min="6923" max="6925" width="10.59765625" style="82" customWidth="1"/>
    <col min="6926" max="6926" width="7" style="82" customWidth="1"/>
    <col min="6927" max="7174" width="9" style="82"/>
    <col min="7175" max="7175" width="2.59765625" style="82" customWidth="1"/>
    <col min="7176" max="7176" width="2" style="82" customWidth="1"/>
    <col min="7177" max="7177" width="1.8984375" style="82" customWidth="1"/>
    <col min="7178" max="7178" width="25" style="82" customWidth="1"/>
    <col min="7179" max="7181" width="10.59765625" style="82" customWidth="1"/>
    <col min="7182" max="7182" width="7" style="82" customWidth="1"/>
    <col min="7183" max="7430" width="9" style="82"/>
    <col min="7431" max="7431" width="2.59765625" style="82" customWidth="1"/>
    <col min="7432" max="7432" width="2" style="82" customWidth="1"/>
    <col min="7433" max="7433" width="1.8984375" style="82" customWidth="1"/>
    <col min="7434" max="7434" width="25" style="82" customWidth="1"/>
    <col min="7435" max="7437" width="10.59765625" style="82" customWidth="1"/>
    <col min="7438" max="7438" width="7" style="82" customWidth="1"/>
    <col min="7439" max="7686" width="9" style="82"/>
    <col min="7687" max="7687" width="2.59765625" style="82" customWidth="1"/>
    <col min="7688" max="7688" width="2" style="82" customWidth="1"/>
    <col min="7689" max="7689" width="1.8984375" style="82" customWidth="1"/>
    <col min="7690" max="7690" width="25" style="82" customWidth="1"/>
    <col min="7691" max="7693" width="10.59765625" style="82" customWidth="1"/>
    <col min="7694" max="7694" width="7" style="82" customWidth="1"/>
    <col min="7695" max="7942" width="9" style="82"/>
    <col min="7943" max="7943" width="2.59765625" style="82" customWidth="1"/>
    <col min="7944" max="7944" width="2" style="82" customWidth="1"/>
    <col min="7945" max="7945" width="1.8984375" style="82" customWidth="1"/>
    <col min="7946" max="7946" width="25" style="82" customWidth="1"/>
    <col min="7947" max="7949" width="10.59765625" style="82" customWidth="1"/>
    <col min="7950" max="7950" width="7" style="82" customWidth="1"/>
    <col min="7951" max="8198" width="9" style="82"/>
    <col min="8199" max="8199" width="2.59765625" style="82" customWidth="1"/>
    <col min="8200" max="8200" width="2" style="82" customWidth="1"/>
    <col min="8201" max="8201" width="1.8984375" style="82" customWidth="1"/>
    <col min="8202" max="8202" width="25" style="82" customWidth="1"/>
    <col min="8203" max="8205" width="10.59765625" style="82" customWidth="1"/>
    <col min="8206" max="8206" width="7" style="82" customWidth="1"/>
    <col min="8207" max="8454" width="9" style="82"/>
    <col min="8455" max="8455" width="2.59765625" style="82" customWidth="1"/>
    <col min="8456" max="8456" width="2" style="82" customWidth="1"/>
    <col min="8457" max="8457" width="1.8984375" style="82" customWidth="1"/>
    <col min="8458" max="8458" width="25" style="82" customWidth="1"/>
    <col min="8459" max="8461" width="10.59765625" style="82" customWidth="1"/>
    <col min="8462" max="8462" width="7" style="82" customWidth="1"/>
    <col min="8463" max="8710" width="9" style="82"/>
    <col min="8711" max="8711" width="2.59765625" style="82" customWidth="1"/>
    <col min="8712" max="8712" width="2" style="82" customWidth="1"/>
    <col min="8713" max="8713" width="1.8984375" style="82" customWidth="1"/>
    <col min="8714" max="8714" width="25" style="82" customWidth="1"/>
    <col min="8715" max="8717" width="10.59765625" style="82" customWidth="1"/>
    <col min="8718" max="8718" width="7" style="82" customWidth="1"/>
    <col min="8719" max="8966" width="9" style="82"/>
    <col min="8967" max="8967" width="2.59765625" style="82" customWidth="1"/>
    <col min="8968" max="8968" width="2" style="82" customWidth="1"/>
    <col min="8969" max="8969" width="1.8984375" style="82" customWidth="1"/>
    <col min="8970" max="8970" width="25" style="82" customWidth="1"/>
    <col min="8971" max="8973" width="10.59765625" style="82" customWidth="1"/>
    <col min="8974" max="8974" width="7" style="82" customWidth="1"/>
    <col min="8975" max="9222" width="9" style="82"/>
    <col min="9223" max="9223" width="2.59765625" style="82" customWidth="1"/>
    <col min="9224" max="9224" width="2" style="82" customWidth="1"/>
    <col min="9225" max="9225" width="1.8984375" style="82" customWidth="1"/>
    <col min="9226" max="9226" width="25" style="82" customWidth="1"/>
    <col min="9227" max="9229" width="10.59765625" style="82" customWidth="1"/>
    <col min="9230" max="9230" width="7" style="82" customWidth="1"/>
    <col min="9231" max="9478" width="9" style="82"/>
    <col min="9479" max="9479" width="2.59765625" style="82" customWidth="1"/>
    <col min="9480" max="9480" width="2" style="82" customWidth="1"/>
    <col min="9481" max="9481" width="1.8984375" style="82" customWidth="1"/>
    <col min="9482" max="9482" width="25" style="82" customWidth="1"/>
    <col min="9483" max="9485" width="10.59765625" style="82" customWidth="1"/>
    <col min="9486" max="9486" width="7" style="82" customWidth="1"/>
    <col min="9487" max="9734" width="9" style="82"/>
    <col min="9735" max="9735" width="2.59765625" style="82" customWidth="1"/>
    <col min="9736" max="9736" width="2" style="82" customWidth="1"/>
    <col min="9737" max="9737" width="1.8984375" style="82" customWidth="1"/>
    <col min="9738" max="9738" width="25" style="82" customWidth="1"/>
    <col min="9739" max="9741" width="10.59765625" style="82" customWidth="1"/>
    <col min="9742" max="9742" width="7" style="82" customWidth="1"/>
    <col min="9743" max="9990" width="9" style="82"/>
    <col min="9991" max="9991" width="2.59765625" style="82" customWidth="1"/>
    <col min="9992" max="9992" width="2" style="82" customWidth="1"/>
    <col min="9993" max="9993" width="1.8984375" style="82" customWidth="1"/>
    <col min="9994" max="9994" width="25" style="82" customWidth="1"/>
    <col min="9995" max="9997" width="10.59765625" style="82" customWidth="1"/>
    <col min="9998" max="9998" width="7" style="82" customWidth="1"/>
    <col min="9999" max="10246" width="9" style="82"/>
    <col min="10247" max="10247" width="2.59765625" style="82" customWidth="1"/>
    <col min="10248" max="10248" width="2" style="82" customWidth="1"/>
    <col min="10249" max="10249" width="1.8984375" style="82" customWidth="1"/>
    <col min="10250" max="10250" width="25" style="82" customWidth="1"/>
    <col min="10251" max="10253" width="10.59765625" style="82" customWidth="1"/>
    <col min="10254" max="10254" width="7" style="82" customWidth="1"/>
    <col min="10255" max="10502" width="9" style="82"/>
    <col min="10503" max="10503" width="2.59765625" style="82" customWidth="1"/>
    <col min="10504" max="10504" width="2" style="82" customWidth="1"/>
    <col min="10505" max="10505" width="1.8984375" style="82" customWidth="1"/>
    <col min="10506" max="10506" width="25" style="82" customWidth="1"/>
    <col min="10507" max="10509" width="10.59765625" style="82" customWidth="1"/>
    <col min="10510" max="10510" width="7" style="82" customWidth="1"/>
    <col min="10511" max="10758" width="9" style="82"/>
    <col min="10759" max="10759" width="2.59765625" style="82" customWidth="1"/>
    <col min="10760" max="10760" width="2" style="82" customWidth="1"/>
    <col min="10761" max="10761" width="1.8984375" style="82" customWidth="1"/>
    <col min="10762" max="10762" width="25" style="82" customWidth="1"/>
    <col min="10763" max="10765" width="10.59765625" style="82" customWidth="1"/>
    <col min="10766" max="10766" width="7" style="82" customWidth="1"/>
    <col min="10767" max="11014" width="9" style="82"/>
    <col min="11015" max="11015" width="2.59765625" style="82" customWidth="1"/>
    <col min="11016" max="11016" width="2" style="82" customWidth="1"/>
    <col min="11017" max="11017" width="1.8984375" style="82" customWidth="1"/>
    <col min="11018" max="11018" width="25" style="82" customWidth="1"/>
    <col min="11019" max="11021" width="10.59765625" style="82" customWidth="1"/>
    <col min="11022" max="11022" width="7" style="82" customWidth="1"/>
    <col min="11023" max="11270" width="9" style="82"/>
    <col min="11271" max="11271" width="2.59765625" style="82" customWidth="1"/>
    <col min="11272" max="11272" width="2" style="82" customWidth="1"/>
    <col min="11273" max="11273" width="1.8984375" style="82" customWidth="1"/>
    <col min="11274" max="11274" width="25" style="82" customWidth="1"/>
    <col min="11275" max="11277" width="10.59765625" style="82" customWidth="1"/>
    <col min="11278" max="11278" width="7" style="82" customWidth="1"/>
    <col min="11279" max="11526" width="9" style="82"/>
    <col min="11527" max="11527" width="2.59765625" style="82" customWidth="1"/>
    <col min="11528" max="11528" width="2" style="82" customWidth="1"/>
    <col min="11529" max="11529" width="1.8984375" style="82" customWidth="1"/>
    <col min="11530" max="11530" width="25" style="82" customWidth="1"/>
    <col min="11531" max="11533" width="10.59765625" style="82" customWidth="1"/>
    <col min="11534" max="11534" width="7" style="82" customWidth="1"/>
    <col min="11535" max="11782" width="9" style="82"/>
    <col min="11783" max="11783" width="2.59765625" style="82" customWidth="1"/>
    <col min="11784" max="11784" width="2" style="82" customWidth="1"/>
    <col min="11785" max="11785" width="1.8984375" style="82" customWidth="1"/>
    <col min="11786" max="11786" width="25" style="82" customWidth="1"/>
    <col min="11787" max="11789" width="10.59765625" style="82" customWidth="1"/>
    <col min="11790" max="11790" width="7" style="82" customWidth="1"/>
    <col min="11791" max="12038" width="9" style="82"/>
    <col min="12039" max="12039" width="2.59765625" style="82" customWidth="1"/>
    <col min="12040" max="12040" width="2" style="82" customWidth="1"/>
    <col min="12041" max="12041" width="1.8984375" style="82" customWidth="1"/>
    <col min="12042" max="12042" width="25" style="82" customWidth="1"/>
    <col min="12043" max="12045" width="10.59765625" style="82" customWidth="1"/>
    <col min="12046" max="12046" width="7" style="82" customWidth="1"/>
    <col min="12047" max="12294" width="9" style="82"/>
    <col min="12295" max="12295" width="2.59765625" style="82" customWidth="1"/>
    <col min="12296" max="12296" width="2" style="82" customWidth="1"/>
    <col min="12297" max="12297" width="1.8984375" style="82" customWidth="1"/>
    <col min="12298" max="12298" width="25" style="82" customWidth="1"/>
    <col min="12299" max="12301" width="10.59765625" style="82" customWidth="1"/>
    <col min="12302" max="12302" width="7" style="82" customWidth="1"/>
    <col min="12303" max="12550" width="9" style="82"/>
    <col min="12551" max="12551" width="2.59765625" style="82" customWidth="1"/>
    <col min="12552" max="12552" width="2" style="82" customWidth="1"/>
    <col min="12553" max="12553" width="1.8984375" style="82" customWidth="1"/>
    <col min="12554" max="12554" width="25" style="82" customWidth="1"/>
    <col min="12555" max="12557" width="10.59765625" style="82" customWidth="1"/>
    <col min="12558" max="12558" width="7" style="82" customWidth="1"/>
    <col min="12559" max="12806" width="9" style="82"/>
    <col min="12807" max="12807" width="2.59765625" style="82" customWidth="1"/>
    <col min="12808" max="12808" width="2" style="82" customWidth="1"/>
    <col min="12809" max="12809" width="1.8984375" style="82" customWidth="1"/>
    <col min="12810" max="12810" width="25" style="82" customWidth="1"/>
    <col min="12811" max="12813" width="10.59765625" style="82" customWidth="1"/>
    <col min="12814" max="12814" width="7" style="82" customWidth="1"/>
    <col min="12815" max="13062" width="9" style="82"/>
    <col min="13063" max="13063" width="2.59765625" style="82" customWidth="1"/>
    <col min="13064" max="13064" width="2" style="82" customWidth="1"/>
    <col min="13065" max="13065" width="1.8984375" style="82" customWidth="1"/>
    <col min="13066" max="13066" width="25" style="82" customWidth="1"/>
    <col min="13067" max="13069" width="10.59765625" style="82" customWidth="1"/>
    <col min="13070" max="13070" width="7" style="82" customWidth="1"/>
    <col min="13071" max="13318" width="9" style="82"/>
    <col min="13319" max="13319" width="2.59765625" style="82" customWidth="1"/>
    <col min="13320" max="13320" width="2" style="82" customWidth="1"/>
    <col min="13321" max="13321" width="1.8984375" style="82" customWidth="1"/>
    <col min="13322" max="13322" width="25" style="82" customWidth="1"/>
    <col min="13323" max="13325" width="10.59765625" style="82" customWidth="1"/>
    <col min="13326" max="13326" width="7" style="82" customWidth="1"/>
    <col min="13327" max="13574" width="9" style="82"/>
    <col min="13575" max="13575" width="2.59765625" style="82" customWidth="1"/>
    <col min="13576" max="13576" width="2" style="82" customWidth="1"/>
    <col min="13577" max="13577" width="1.8984375" style="82" customWidth="1"/>
    <col min="13578" max="13578" width="25" style="82" customWidth="1"/>
    <col min="13579" max="13581" width="10.59765625" style="82" customWidth="1"/>
    <col min="13582" max="13582" width="7" style="82" customWidth="1"/>
    <col min="13583" max="13830" width="9" style="82"/>
    <col min="13831" max="13831" width="2.59765625" style="82" customWidth="1"/>
    <col min="13832" max="13832" width="2" style="82" customWidth="1"/>
    <col min="13833" max="13833" width="1.8984375" style="82" customWidth="1"/>
    <col min="13834" max="13834" width="25" style="82" customWidth="1"/>
    <col min="13835" max="13837" width="10.59765625" style="82" customWidth="1"/>
    <col min="13838" max="13838" width="7" style="82" customWidth="1"/>
    <col min="13839" max="14086" width="9" style="82"/>
    <col min="14087" max="14087" width="2.59765625" style="82" customWidth="1"/>
    <col min="14088" max="14088" width="2" style="82" customWidth="1"/>
    <col min="14089" max="14089" width="1.8984375" style="82" customWidth="1"/>
    <col min="14090" max="14090" width="25" style="82" customWidth="1"/>
    <col min="14091" max="14093" width="10.59765625" style="82" customWidth="1"/>
    <col min="14094" max="14094" width="7" style="82" customWidth="1"/>
    <col min="14095" max="14342" width="9" style="82"/>
    <col min="14343" max="14343" width="2.59765625" style="82" customWidth="1"/>
    <col min="14344" max="14344" width="2" style="82" customWidth="1"/>
    <col min="14345" max="14345" width="1.8984375" style="82" customWidth="1"/>
    <col min="14346" max="14346" width="25" style="82" customWidth="1"/>
    <col min="14347" max="14349" width="10.59765625" style="82" customWidth="1"/>
    <col min="14350" max="14350" width="7" style="82" customWidth="1"/>
    <col min="14351" max="14598" width="9" style="82"/>
    <col min="14599" max="14599" width="2.59765625" style="82" customWidth="1"/>
    <col min="14600" max="14600" width="2" style="82" customWidth="1"/>
    <col min="14601" max="14601" width="1.8984375" style="82" customWidth="1"/>
    <col min="14602" max="14602" width="25" style="82" customWidth="1"/>
    <col min="14603" max="14605" width="10.59765625" style="82" customWidth="1"/>
    <col min="14606" max="14606" width="7" style="82" customWidth="1"/>
    <col min="14607" max="14854" width="9" style="82"/>
    <col min="14855" max="14855" width="2.59765625" style="82" customWidth="1"/>
    <col min="14856" max="14856" width="2" style="82" customWidth="1"/>
    <col min="14857" max="14857" width="1.8984375" style="82" customWidth="1"/>
    <col min="14858" max="14858" width="25" style="82" customWidth="1"/>
    <col min="14859" max="14861" width="10.59765625" style="82" customWidth="1"/>
    <col min="14862" max="14862" width="7" style="82" customWidth="1"/>
    <col min="14863" max="15110" width="9" style="82"/>
    <col min="15111" max="15111" width="2.59765625" style="82" customWidth="1"/>
    <col min="15112" max="15112" width="2" style="82" customWidth="1"/>
    <col min="15113" max="15113" width="1.8984375" style="82" customWidth="1"/>
    <col min="15114" max="15114" width="25" style="82" customWidth="1"/>
    <col min="15115" max="15117" width="10.59765625" style="82" customWidth="1"/>
    <col min="15118" max="15118" width="7" style="82" customWidth="1"/>
    <col min="15119" max="15366" width="9" style="82"/>
    <col min="15367" max="15367" width="2.59765625" style="82" customWidth="1"/>
    <col min="15368" max="15368" width="2" style="82" customWidth="1"/>
    <col min="15369" max="15369" width="1.8984375" style="82" customWidth="1"/>
    <col min="15370" max="15370" width="25" style="82" customWidth="1"/>
    <col min="15371" max="15373" width="10.59765625" style="82" customWidth="1"/>
    <col min="15374" max="15374" width="7" style="82" customWidth="1"/>
    <col min="15375" max="15622" width="9" style="82"/>
    <col min="15623" max="15623" width="2.59765625" style="82" customWidth="1"/>
    <col min="15624" max="15624" width="2" style="82" customWidth="1"/>
    <col min="15625" max="15625" width="1.8984375" style="82" customWidth="1"/>
    <col min="15626" max="15626" width="25" style="82" customWidth="1"/>
    <col min="15627" max="15629" width="10.59765625" style="82" customWidth="1"/>
    <col min="15630" max="15630" width="7" style="82" customWidth="1"/>
    <col min="15631" max="15878" width="9" style="82"/>
    <col min="15879" max="15879" width="2.59765625" style="82" customWidth="1"/>
    <col min="15880" max="15880" width="2" style="82" customWidth="1"/>
    <col min="15881" max="15881" width="1.8984375" style="82" customWidth="1"/>
    <col min="15882" max="15882" width="25" style="82" customWidth="1"/>
    <col min="15883" max="15885" width="10.59765625" style="82" customWidth="1"/>
    <col min="15886" max="15886" width="7" style="82" customWidth="1"/>
    <col min="15887" max="16134" width="9" style="82"/>
    <col min="16135" max="16135" width="2.59765625" style="82" customWidth="1"/>
    <col min="16136" max="16136" width="2" style="82" customWidth="1"/>
    <col min="16137" max="16137" width="1.8984375" style="82" customWidth="1"/>
    <col min="16138" max="16138" width="25" style="82" customWidth="1"/>
    <col min="16139" max="16141" width="10.59765625" style="82" customWidth="1"/>
    <col min="16142" max="16142" width="7" style="82" customWidth="1"/>
    <col min="16143" max="16384" width="9" style="82"/>
  </cols>
  <sheetData>
    <row r="1" spans="1:13" ht="30.6" customHeight="1">
      <c r="A1" s="2139" t="s">
        <v>471</v>
      </c>
      <c r="B1" s="2139"/>
      <c r="C1" s="2139"/>
      <c r="D1" s="2139"/>
      <c r="E1" s="2139"/>
      <c r="F1" s="2139"/>
      <c r="G1" s="2139"/>
      <c r="H1" s="2139"/>
      <c r="I1" s="2139"/>
      <c r="J1" s="2139"/>
      <c r="K1" s="2139"/>
      <c r="L1" s="2139"/>
      <c r="M1" s="2139"/>
    </row>
    <row r="2" spans="1:13" ht="16.5" customHeight="1" thickBot="1">
      <c r="A2" s="187" t="s">
        <v>472</v>
      </c>
      <c r="B2" s="95"/>
      <c r="C2" s="95"/>
      <c r="D2" s="95"/>
      <c r="E2" s="373"/>
      <c r="F2" s="373"/>
      <c r="G2" s="374"/>
      <c r="H2" s="373"/>
      <c r="I2" s="373"/>
      <c r="J2" s="374"/>
      <c r="K2" s="373"/>
      <c r="L2" s="373"/>
      <c r="M2" s="374"/>
    </row>
    <row r="3" spans="1:13" ht="16.5" customHeight="1">
      <c r="A3" s="2285" t="s">
        <v>473</v>
      </c>
      <c r="B3" s="2285"/>
      <c r="C3" s="2285"/>
      <c r="D3" s="2286"/>
      <c r="E3" s="2291" t="s">
        <v>474</v>
      </c>
      <c r="F3" s="2292"/>
      <c r="G3" s="2292"/>
      <c r="H3" s="2291" t="s">
        <v>475</v>
      </c>
      <c r="I3" s="2292"/>
      <c r="J3" s="2293"/>
      <c r="K3" s="2292" t="s">
        <v>476</v>
      </c>
      <c r="L3" s="2292"/>
      <c r="M3" s="2292"/>
    </row>
    <row r="4" spans="1:13" s="11" customFormat="1" ht="15" customHeight="1">
      <c r="A4" s="2287"/>
      <c r="B4" s="2287"/>
      <c r="C4" s="2287"/>
      <c r="D4" s="2288"/>
      <c r="E4" s="2198" t="s">
        <v>184</v>
      </c>
      <c r="F4" s="2206" t="s">
        <v>477</v>
      </c>
      <c r="G4" s="2282" t="s">
        <v>478</v>
      </c>
      <c r="H4" s="2198" t="s">
        <v>184</v>
      </c>
      <c r="I4" s="2206" t="s">
        <v>477</v>
      </c>
      <c r="J4" s="2282" t="s">
        <v>478</v>
      </c>
      <c r="K4" s="2198" t="s">
        <v>184</v>
      </c>
      <c r="L4" s="2206" t="s">
        <v>477</v>
      </c>
      <c r="M4" s="2282" t="s">
        <v>478</v>
      </c>
    </row>
    <row r="5" spans="1:13" s="11" customFormat="1" ht="15" customHeight="1">
      <c r="A5" s="2287"/>
      <c r="B5" s="2287"/>
      <c r="C5" s="2287"/>
      <c r="D5" s="2288"/>
      <c r="E5" s="2198"/>
      <c r="F5" s="2198"/>
      <c r="G5" s="2188"/>
      <c r="H5" s="2198"/>
      <c r="I5" s="2198"/>
      <c r="J5" s="2188"/>
      <c r="K5" s="2198"/>
      <c r="L5" s="2198"/>
      <c r="M5" s="2188"/>
    </row>
    <row r="6" spans="1:13" s="11" customFormat="1" ht="15" customHeight="1">
      <c r="A6" s="2289"/>
      <c r="B6" s="2289"/>
      <c r="C6" s="2289"/>
      <c r="D6" s="2290"/>
      <c r="E6" s="2193"/>
      <c r="F6" s="2193"/>
      <c r="G6" s="2189"/>
      <c r="H6" s="2193"/>
      <c r="I6" s="2193"/>
      <c r="J6" s="2189"/>
      <c r="K6" s="2193"/>
      <c r="L6" s="2193"/>
      <c r="M6" s="2189"/>
    </row>
    <row r="7" spans="1:13" s="11" customFormat="1" ht="15.9" customHeight="1">
      <c r="A7" s="2283" t="s">
        <v>479</v>
      </c>
      <c r="B7" s="2283"/>
      <c r="C7" s="2283"/>
      <c r="D7" s="2284"/>
      <c r="E7" s="385">
        <v>11030</v>
      </c>
      <c r="F7" s="385">
        <v>29372</v>
      </c>
      <c r="G7" s="386">
        <v>2.662919311</v>
      </c>
      <c r="H7" s="385">
        <v>10798</v>
      </c>
      <c r="I7" s="385">
        <v>27550</v>
      </c>
      <c r="J7" s="387">
        <v>2.5513984071000002</v>
      </c>
      <c r="K7" s="385">
        <v>10706</v>
      </c>
      <c r="L7" s="385">
        <v>25502</v>
      </c>
      <c r="M7" s="388">
        <f>+IFERROR(L7/K7,"")</f>
        <v>2.3820287689146271</v>
      </c>
    </row>
    <row r="8" spans="1:13" s="11" customFormat="1" ht="15.9" customHeight="1">
      <c r="A8" s="389"/>
      <c r="B8" s="2278" t="s">
        <v>480</v>
      </c>
      <c r="C8" s="2278"/>
      <c r="D8" s="2279"/>
      <c r="E8" s="392">
        <v>10684</v>
      </c>
      <c r="F8" s="392">
        <v>28996</v>
      </c>
      <c r="G8" s="393">
        <v>2.7139648072</v>
      </c>
      <c r="H8" s="392">
        <v>10497</v>
      </c>
      <c r="I8" s="392">
        <v>27200</v>
      </c>
      <c r="J8" s="394">
        <v>2.5912165380999999</v>
      </c>
      <c r="K8" s="392">
        <v>10481</v>
      </c>
      <c r="L8" s="392">
        <v>25239</v>
      </c>
      <c r="M8" s="395">
        <f>+IFERROR(L8/K8,"")</f>
        <v>2.4080717488789238</v>
      </c>
    </row>
    <row r="9" spans="1:13" s="11" customFormat="1" ht="15.9" customHeight="1">
      <c r="A9" s="389"/>
      <c r="B9" s="389"/>
      <c r="C9" s="2278" t="s">
        <v>481</v>
      </c>
      <c r="D9" s="2279"/>
      <c r="E9" s="392">
        <v>10605</v>
      </c>
      <c r="F9" s="392">
        <v>28807</v>
      </c>
      <c r="G9" s="393">
        <v>2.7163602074000002</v>
      </c>
      <c r="H9" s="392">
        <v>10439</v>
      </c>
      <c r="I9" s="392">
        <v>27079</v>
      </c>
      <c r="J9" s="394">
        <v>2.5940224159</v>
      </c>
      <c r="K9" s="392">
        <v>10381</v>
      </c>
      <c r="L9" s="392">
        <v>25026</v>
      </c>
      <c r="M9" s="395">
        <f t="shared" ref="M9:M15" si="0">+IFERROR(L9/K9,"")</f>
        <v>2.4107504094017917</v>
      </c>
    </row>
    <row r="10" spans="1:13" s="11" customFormat="1" ht="15.9" customHeight="1">
      <c r="A10" s="389"/>
      <c r="B10" s="389"/>
      <c r="C10" s="389"/>
      <c r="D10" s="344" t="s">
        <v>482</v>
      </c>
      <c r="E10" s="392">
        <v>8405</v>
      </c>
      <c r="F10" s="392">
        <v>24251</v>
      </c>
      <c r="G10" s="393">
        <v>2.8853063653</v>
      </c>
      <c r="H10" s="392">
        <v>8379</v>
      </c>
      <c r="I10" s="392">
        <v>22924</v>
      </c>
      <c r="J10" s="394">
        <v>2.7358873373999999</v>
      </c>
      <c r="K10" s="392">
        <v>8435</v>
      </c>
      <c r="L10" s="392">
        <v>21539</v>
      </c>
      <c r="M10" s="395">
        <f t="shared" si="0"/>
        <v>2.5535269709543567</v>
      </c>
    </row>
    <row r="11" spans="1:13" s="11" customFormat="1" ht="15.9" customHeight="1">
      <c r="A11" s="389"/>
      <c r="B11" s="389"/>
      <c r="C11" s="389"/>
      <c r="D11" s="344" t="s">
        <v>483</v>
      </c>
      <c r="E11" s="392">
        <v>783</v>
      </c>
      <c r="F11" s="392">
        <v>1769</v>
      </c>
      <c r="G11" s="393">
        <v>2.2592592592999998</v>
      </c>
      <c r="H11" s="392">
        <v>761</v>
      </c>
      <c r="I11" s="392">
        <v>1600</v>
      </c>
      <c r="J11" s="394">
        <v>2.1024967148</v>
      </c>
      <c r="K11" s="392">
        <v>617</v>
      </c>
      <c r="L11" s="392">
        <v>1200</v>
      </c>
      <c r="M11" s="395">
        <f t="shared" si="0"/>
        <v>1.9448946515397083</v>
      </c>
    </row>
    <row r="12" spans="1:13" s="11" customFormat="1" ht="15.9" customHeight="1">
      <c r="A12" s="389"/>
      <c r="B12" s="389"/>
      <c r="C12" s="389"/>
      <c r="D12" s="344" t="s">
        <v>484</v>
      </c>
      <c r="E12" s="392">
        <v>1084</v>
      </c>
      <c r="F12" s="392">
        <v>2138</v>
      </c>
      <c r="G12" s="393">
        <v>1.9723247232000001</v>
      </c>
      <c r="H12" s="392">
        <v>1053</v>
      </c>
      <c r="I12" s="392">
        <v>2034</v>
      </c>
      <c r="J12" s="394">
        <v>1.9316239315999999</v>
      </c>
      <c r="K12" s="392">
        <v>1086</v>
      </c>
      <c r="L12" s="392">
        <v>1906</v>
      </c>
      <c r="M12" s="395">
        <f t="shared" si="0"/>
        <v>1.7550644567219154</v>
      </c>
    </row>
    <row r="13" spans="1:13" s="11" customFormat="1" ht="15.9" customHeight="1">
      <c r="A13" s="389"/>
      <c r="B13" s="389"/>
      <c r="C13" s="389"/>
      <c r="D13" s="344" t="s">
        <v>485</v>
      </c>
      <c r="E13" s="392">
        <v>333</v>
      </c>
      <c r="F13" s="392">
        <v>649</v>
      </c>
      <c r="G13" s="393">
        <v>1.9489489489</v>
      </c>
      <c r="H13" s="392">
        <v>246</v>
      </c>
      <c r="I13" s="392">
        <v>521</v>
      </c>
      <c r="J13" s="394">
        <v>2.1178861789000001</v>
      </c>
      <c r="K13" s="392">
        <v>243</v>
      </c>
      <c r="L13" s="392">
        <v>381</v>
      </c>
      <c r="M13" s="395">
        <f t="shared" si="0"/>
        <v>1.5679012345679013</v>
      </c>
    </row>
    <row r="14" spans="1:13" s="11" customFormat="1" ht="15.9" customHeight="1">
      <c r="A14" s="389"/>
      <c r="B14" s="389"/>
      <c r="C14" s="2278" t="s">
        <v>486</v>
      </c>
      <c r="D14" s="2279"/>
      <c r="E14" s="392">
        <v>79</v>
      </c>
      <c r="F14" s="392">
        <v>189</v>
      </c>
      <c r="G14" s="393">
        <v>2.3924050633</v>
      </c>
      <c r="H14" s="392">
        <v>58</v>
      </c>
      <c r="I14" s="392">
        <v>121</v>
      </c>
      <c r="J14" s="394">
        <v>2.0862068965999998</v>
      </c>
      <c r="K14" s="392">
        <v>100</v>
      </c>
      <c r="L14" s="392">
        <v>213</v>
      </c>
      <c r="M14" s="395">
        <f t="shared" si="0"/>
        <v>2.13</v>
      </c>
    </row>
    <row r="15" spans="1:13" s="11" customFormat="1" ht="15.9" customHeight="1" thickBot="1">
      <c r="A15" s="2280" t="s">
        <v>487</v>
      </c>
      <c r="B15" s="2280"/>
      <c r="C15" s="2280"/>
      <c r="D15" s="2281"/>
      <c r="E15" s="398">
        <v>346</v>
      </c>
      <c r="F15" s="398">
        <v>376</v>
      </c>
      <c r="G15" s="399">
        <v>1.0867052022999999</v>
      </c>
      <c r="H15" s="398">
        <v>301</v>
      </c>
      <c r="I15" s="398">
        <v>350</v>
      </c>
      <c r="J15" s="400">
        <v>1.1627906977</v>
      </c>
      <c r="K15" s="398">
        <v>225</v>
      </c>
      <c r="L15" s="398">
        <v>263</v>
      </c>
      <c r="M15" s="401">
        <f t="shared" si="0"/>
        <v>1.1688888888888889</v>
      </c>
    </row>
    <row r="16" spans="1:13" ht="16.5" customHeight="1"/>
    <row r="17" spans="1:15" s="11" customFormat="1" ht="15" customHeight="1" thickBot="1">
      <c r="A17" s="11" t="s">
        <v>488</v>
      </c>
    </row>
    <row r="18" spans="1:15" ht="16.5" customHeight="1">
      <c r="A18" s="2285" t="s">
        <v>473</v>
      </c>
      <c r="B18" s="2285"/>
      <c r="C18" s="2285"/>
      <c r="D18" s="2286"/>
      <c r="E18" s="2291" t="s">
        <v>474</v>
      </c>
      <c r="F18" s="2292"/>
      <c r="G18" s="2292"/>
      <c r="H18" s="2291" t="s">
        <v>475</v>
      </c>
      <c r="I18" s="2292"/>
      <c r="J18" s="2293"/>
      <c r="K18" s="2292" t="s">
        <v>476</v>
      </c>
      <c r="L18" s="2292"/>
      <c r="M18" s="2292"/>
    </row>
    <row r="19" spans="1:15" s="11" customFormat="1" ht="15" customHeight="1">
      <c r="A19" s="2287"/>
      <c r="B19" s="2287"/>
      <c r="C19" s="2287"/>
      <c r="D19" s="2288"/>
      <c r="E19" s="2198" t="s">
        <v>184</v>
      </c>
      <c r="F19" s="2206" t="s">
        <v>477</v>
      </c>
      <c r="G19" s="2282" t="s">
        <v>478</v>
      </c>
      <c r="H19" s="2198" t="s">
        <v>184</v>
      </c>
      <c r="I19" s="2206" t="s">
        <v>477</v>
      </c>
      <c r="J19" s="2282" t="s">
        <v>478</v>
      </c>
      <c r="K19" s="2198" t="s">
        <v>184</v>
      </c>
      <c r="L19" s="2206" t="s">
        <v>477</v>
      </c>
      <c r="M19" s="2282" t="s">
        <v>478</v>
      </c>
    </row>
    <row r="20" spans="1:15" s="11" customFormat="1" ht="15" customHeight="1">
      <c r="A20" s="2287"/>
      <c r="B20" s="2287"/>
      <c r="C20" s="2287"/>
      <c r="D20" s="2288"/>
      <c r="E20" s="2198"/>
      <c r="F20" s="2198"/>
      <c r="G20" s="2188"/>
      <c r="H20" s="2198"/>
      <c r="I20" s="2198"/>
      <c r="J20" s="2188"/>
      <c r="K20" s="2198"/>
      <c r="L20" s="2198"/>
      <c r="M20" s="2188"/>
    </row>
    <row r="21" spans="1:15" s="11" customFormat="1" ht="15" customHeight="1">
      <c r="A21" s="2289"/>
      <c r="B21" s="2289"/>
      <c r="C21" s="2289"/>
      <c r="D21" s="2290"/>
      <c r="E21" s="2193"/>
      <c r="F21" s="2193"/>
      <c r="G21" s="2189"/>
      <c r="H21" s="2193"/>
      <c r="I21" s="2193"/>
      <c r="J21" s="2189"/>
      <c r="K21" s="2193"/>
      <c r="L21" s="2193"/>
      <c r="M21" s="2189"/>
    </row>
    <row r="22" spans="1:15" s="11" customFormat="1" ht="15.9" customHeight="1">
      <c r="A22" s="2283" t="s">
        <v>479</v>
      </c>
      <c r="B22" s="2283"/>
      <c r="C22" s="2283"/>
      <c r="D22" s="2284"/>
      <c r="E22" s="385">
        <v>339</v>
      </c>
      <c r="F22" s="385">
        <v>892</v>
      </c>
      <c r="G22" s="386">
        <v>2.6312684366000001</v>
      </c>
      <c r="H22" s="385">
        <v>325</v>
      </c>
      <c r="I22" s="385">
        <v>818</v>
      </c>
      <c r="J22" s="387">
        <v>2.5169230768999999</v>
      </c>
      <c r="K22" s="385">
        <v>307</v>
      </c>
      <c r="L22" s="385">
        <v>723</v>
      </c>
      <c r="M22" s="388">
        <f t="shared" ref="M22:M29" si="1">+IFERROR(L22/K22,"")</f>
        <v>2.3550488599348536</v>
      </c>
      <c r="O22" s="82"/>
    </row>
    <row r="23" spans="1:15" s="11" customFormat="1" ht="15.9" customHeight="1">
      <c r="A23" s="389"/>
      <c r="B23" s="2278" t="s">
        <v>480</v>
      </c>
      <c r="C23" s="2278"/>
      <c r="D23" s="2279"/>
      <c r="E23" s="392">
        <v>335</v>
      </c>
      <c r="F23" s="224">
        <v>888</v>
      </c>
      <c r="G23" s="393">
        <v>2.6507462686999999</v>
      </c>
      <c r="H23" s="392">
        <v>320</v>
      </c>
      <c r="I23" s="392">
        <v>813</v>
      </c>
      <c r="J23" s="394">
        <v>2.5406249999999999</v>
      </c>
      <c r="K23" s="392">
        <v>302</v>
      </c>
      <c r="L23" s="392">
        <v>716</v>
      </c>
      <c r="M23" s="395">
        <f t="shared" si="1"/>
        <v>2.370860927152318</v>
      </c>
      <c r="O23" s="82"/>
    </row>
    <row r="24" spans="1:15" s="11" customFormat="1" ht="15.9" customHeight="1">
      <c r="A24" s="389"/>
      <c r="B24" s="389"/>
      <c r="C24" s="2278" t="s">
        <v>481</v>
      </c>
      <c r="D24" s="2279"/>
      <c r="E24" s="392">
        <v>334</v>
      </c>
      <c r="F24" s="224">
        <v>884</v>
      </c>
      <c r="G24" s="393">
        <v>2.6467065868000001</v>
      </c>
      <c r="H24" s="392">
        <v>319</v>
      </c>
      <c r="I24" s="392">
        <v>812</v>
      </c>
      <c r="J24" s="394">
        <v>2.5454545455000002</v>
      </c>
      <c r="K24" s="392">
        <v>300</v>
      </c>
      <c r="L24" s="392">
        <v>705</v>
      </c>
      <c r="M24" s="395">
        <f t="shared" si="1"/>
        <v>2.35</v>
      </c>
      <c r="O24" s="82"/>
    </row>
    <row r="25" spans="1:15" s="11" customFormat="1" ht="15.9" customHeight="1">
      <c r="A25" s="389"/>
      <c r="B25" s="389"/>
      <c r="C25" s="389"/>
      <c r="D25" s="344" t="s">
        <v>482</v>
      </c>
      <c r="E25" s="392">
        <v>271</v>
      </c>
      <c r="F25" s="224">
        <v>720</v>
      </c>
      <c r="G25" s="393">
        <v>2.6568265683000001</v>
      </c>
      <c r="H25" s="392">
        <v>241</v>
      </c>
      <c r="I25" s="392">
        <v>592</v>
      </c>
      <c r="J25" s="394">
        <v>2.4564315353000001</v>
      </c>
      <c r="K25" s="392">
        <v>229</v>
      </c>
      <c r="L25" s="392">
        <v>517</v>
      </c>
      <c r="M25" s="395">
        <f t="shared" si="1"/>
        <v>2.2576419213973797</v>
      </c>
      <c r="O25" s="82"/>
    </row>
    <row r="26" spans="1:15" s="11" customFormat="1" ht="15.9" customHeight="1">
      <c r="A26" s="389"/>
      <c r="B26" s="389"/>
      <c r="C26" s="389"/>
      <c r="D26" s="344" t="s">
        <v>483</v>
      </c>
      <c r="E26" s="392">
        <v>41</v>
      </c>
      <c r="F26" s="224">
        <v>115</v>
      </c>
      <c r="G26" s="393">
        <v>2.8048780488</v>
      </c>
      <c r="H26" s="392">
        <v>41</v>
      </c>
      <c r="I26" s="392">
        <v>122</v>
      </c>
      <c r="J26" s="394">
        <v>2.9756097560999999</v>
      </c>
      <c r="K26" s="392">
        <v>51</v>
      </c>
      <c r="L26" s="392">
        <v>144</v>
      </c>
      <c r="M26" s="395">
        <f t="shared" si="1"/>
        <v>2.8235294117647061</v>
      </c>
      <c r="O26" s="82"/>
    </row>
    <row r="27" spans="1:15" s="11" customFormat="1" ht="15.9" customHeight="1">
      <c r="A27" s="389"/>
      <c r="B27" s="389"/>
      <c r="C27" s="389"/>
      <c r="D27" s="344" t="s">
        <v>484</v>
      </c>
      <c r="E27" s="392">
        <v>15</v>
      </c>
      <c r="F27" s="224">
        <v>40</v>
      </c>
      <c r="G27" s="393">
        <v>2.6666666666999999</v>
      </c>
      <c r="H27" s="392">
        <v>30</v>
      </c>
      <c r="I27" s="392">
        <v>89</v>
      </c>
      <c r="J27" s="394">
        <v>2.9666666667000001</v>
      </c>
      <c r="K27" s="392">
        <v>17</v>
      </c>
      <c r="L27" s="392">
        <v>41</v>
      </c>
      <c r="M27" s="395">
        <f t="shared" si="1"/>
        <v>2.4117647058823528</v>
      </c>
      <c r="O27" s="82"/>
    </row>
    <row r="28" spans="1:15" s="11" customFormat="1" ht="15.9" customHeight="1">
      <c r="A28" s="389"/>
      <c r="B28" s="389"/>
      <c r="C28" s="389"/>
      <c r="D28" s="344" t="s">
        <v>485</v>
      </c>
      <c r="E28" s="392">
        <v>7</v>
      </c>
      <c r="F28" s="224">
        <v>9</v>
      </c>
      <c r="G28" s="393">
        <v>1.2857142856999999</v>
      </c>
      <c r="H28" s="392">
        <v>7</v>
      </c>
      <c r="I28" s="392">
        <v>9</v>
      </c>
      <c r="J28" s="394">
        <v>1.2857142856999999</v>
      </c>
      <c r="K28" s="392">
        <v>3</v>
      </c>
      <c r="L28" s="392">
        <v>3</v>
      </c>
      <c r="M28" s="395">
        <f t="shared" si="1"/>
        <v>1</v>
      </c>
      <c r="O28" s="82"/>
    </row>
    <row r="29" spans="1:15" s="11" customFormat="1" ht="15.9" customHeight="1">
      <c r="A29" s="389"/>
      <c r="B29" s="389"/>
      <c r="C29" s="2278" t="s">
        <v>486</v>
      </c>
      <c r="D29" s="2279"/>
      <c r="E29" s="392">
        <v>1</v>
      </c>
      <c r="F29" s="224">
        <v>4</v>
      </c>
      <c r="G29" s="393">
        <v>4</v>
      </c>
      <c r="H29" s="392">
        <v>1</v>
      </c>
      <c r="I29" s="392">
        <v>1</v>
      </c>
      <c r="J29" s="394">
        <v>1</v>
      </c>
      <c r="K29" s="392">
        <v>2</v>
      </c>
      <c r="L29" s="392">
        <v>11</v>
      </c>
      <c r="M29" s="395">
        <f t="shared" si="1"/>
        <v>5.5</v>
      </c>
      <c r="O29" s="82"/>
    </row>
    <row r="30" spans="1:15" s="11" customFormat="1" ht="15.9" customHeight="1" thickBot="1">
      <c r="A30" s="2280" t="s">
        <v>487</v>
      </c>
      <c r="B30" s="2280"/>
      <c r="C30" s="2280"/>
      <c r="D30" s="2281"/>
      <c r="E30" s="398">
        <v>4</v>
      </c>
      <c r="F30" s="402">
        <v>4</v>
      </c>
      <c r="G30" s="399">
        <v>1</v>
      </c>
      <c r="H30" s="398">
        <v>5</v>
      </c>
      <c r="I30" s="398">
        <v>5</v>
      </c>
      <c r="J30" s="400">
        <v>1</v>
      </c>
      <c r="K30" s="398">
        <v>5</v>
      </c>
      <c r="L30" s="398">
        <v>7</v>
      </c>
      <c r="M30" s="401">
        <f>+IFERROR(L30/K30,"")</f>
        <v>1.4</v>
      </c>
      <c r="O30" s="82"/>
    </row>
    <row r="31" spans="1:15" s="11" customFormat="1" ht="15" customHeight="1">
      <c r="F31" s="103"/>
      <c r="I31" s="103"/>
      <c r="L31" s="103"/>
    </row>
    <row r="32" spans="1:15" s="11" customFormat="1" ht="15" customHeight="1" thickBot="1">
      <c r="A32" s="11" t="s">
        <v>489</v>
      </c>
    </row>
    <row r="33" spans="1:16" ht="16.5" customHeight="1">
      <c r="A33" s="2285" t="s">
        <v>473</v>
      </c>
      <c r="B33" s="2285"/>
      <c r="C33" s="2285"/>
      <c r="D33" s="2286"/>
      <c r="E33" s="2291" t="s">
        <v>474</v>
      </c>
      <c r="F33" s="2292"/>
      <c r="G33" s="2292"/>
      <c r="H33" s="2291" t="s">
        <v>475</v>
      </c>
      <c r="I33" s="2292"/>
      <c r="J33" s="2293"/>
      <c r="K33" s="2292" t="s">
        <v>476</v>
      </c>
      <c r="L33" s="2292"/>
      <c r="M33" s="2292"/>
    </row>
    <row r="34" spans="1:16" s="11" customFormat="1" ht="15" customHeight="1">
      <c r="A34" s="2287"/>
      <c r="B34" s="2287"/>
      <c r="C34" s="2287"/>
      <c r="D34" s="2288"/>
      <c r="E34" s="2198" t="s">
        <v>184</v>
      </c>
      <c r="F34" s="2206" t="s">
        <v>477</v>
      </c>
      <c r="G34" s="2282" t="s">
        <v>478</v>
      </c>
      <c r="H34" s="2198" t="s">
        <v>184</v>
      </c>
      <c r="I34" s="2206" t="s">
        <v>477</v>
      </c>
      <c r="J34" s="2282" t="s">
        <v>478</v>
      </c>
      <c r="K34" s="2198" t="s">
        <v>184</v>
      </c>
      <c r="L34" s="2206" t="s">
        <v>477</v>
      </c>
      <c r="M34" s="2282" t="s">
        <v>478</v>
      </c>
    </row>
    <row r="35" spans="1:16" s="11" customFormat="1" ht="15" customHeight="1">
      <c r="A35" s="2287"/>
      <c r="B35" s="2287"/>
      <c r="C35" s="2287"/>
      <c r="D35" s="2288"/>
      <c r="E35" s="2198"/>
      <c r="F35" s="2198"/>
      <c r="G35" s="2188"/>
      <c r="H35" s="2198"/>
      <c r="I35" s="2198"/>
      <c r="J35" s="2188"/>
      <c r="K35" s="2198"/>
      <c r="L35" s="2198"/>
      <c r="M35" s="2188"/>
    </row>
    <row r="36" spans="1:16" s="11" customFormat="1" ht="15" customHeight="1">
      <c r="A36" s="2289"/>
      <c r="B36" s="2289"/>
      <c r="C36" s="2289"/>
      <c r="D36" s="2290"/>
      <c r="E36" s="2193"/>
      <c r="F36" s="2193"/>
      <c r="G36" s="2189"/>
      <c r="H36" s="2193"/>
      <c r="I36" s="2193"/>
      <c r="J36" s="2189"/>
      <c r="K36" s="2193"/>
      <c r="L36" s="2193"/>
      <c r="M36" s="2189"/>
    </row>
    <row r="37" spans="1:16" s="11" customFormat="1" ht="15.9" customHeight="1">
      <c r="A37" s="2283" t="s">
        <v>479</v>
      </c>
      <c r="B37" s="2283"/>
      <c r="C37" s="2283"/>
      <c r="D37" s="2284"/>
      <c r="E37" s="385">
        <v>408</v>
      </c>
      <c r="F37" s="385">
        <v>1086</v>
      </c>
      <c r="G37" s="386">
        <v>2.6617647059</v>
      </c>
      <c r="H37" s="385">
        <v>380</v>
      </c>
      <c r="I37" s="385">
        <v>930</v>
      </c>
      <c r="J37" s="387">
        <v>2.4473684211000002</v>
      </c>
      <c r="K37" s="385">
        <v>354</v>
      </c>
      <c r="L37" s="385">
        <v>846</v>
      </c>
      <c r="M37" s="388">
        <f t="shared" ref="M37:M44" si="2">+IFERROR(L37/K37,"")</f>
        <v>2.3898305084745761</v>
      </c>
    </row>
    <row r="38" spans="1:16" s="11" customFormat="1" ht="15.9" customHeight="1">
      <c r="A38" s="389"/>
      <c r="B38" s="2278" t="s">
        <v>480</v>
      </c>
      <c r="C38" s="2278"/>
      <c r="D38" s="2279"/>
      <c r="E38" s="392">
        <v>408</v>
      </c>
      <c r="F38" s="392">
        <v>1086</v>
      </c>
      <c r="G38" s="393">
        <v>2.6617647059</v>
      </c>
      <c r="H38" s="392">
        <v>378</v>
      </c>
      <c r="I38" s="392">
        <v>926</v>
      </c>
      <c r="J38" s="394">
        <v>2.4497354496999999</v>
      </c>
      <c r="K38" s="392">
        <v>352</v>
      </c>
      <c r="L38" s="392">
        <v>840</v>
      </c>
      <c r="M38" s="395">
        <f t="shared" si="2"/>
        <v>2.3863636363636362</v>
      </c>
      <c r="O38" s="82"/>
      <c r="P38" s="82"/>
    </row>
    <row r="39" spans="1:16" s="11" customFormat="1" ht="15.9" customHeight="1">
      <c r="A39" s="389"/>
      <c r="B39" s="389"/>
      <c r="C39" s="2278" t="s">
        <v>481</v>
      </c>
      <c r="D39" s="2279"/>
      <c r="E39" s="392">
        <v>408</v>
      </c>
      <c r="F39" s="392">
        <v>1086</v>
      </c>
      <c r="G39" s="393">
        <v>2.6617647059</v>
      </c>
      <c r="H39" s="392">
        <v>377</v>
      </c>
      <c r="I39" s="392">
        <v>921</v>
      </c>
      <c r="J39" s="394">
        <v>2.4429708223</v>
      </c>
      <c r="K39" s="392">
        <v>351</v>
      </c>
      <c r="L39" s="392">
        <v>839</v>
      </c>
      <c r="M39" s="395">
        <f t="shared" si="2"/>
        <v>2.3903133903133904</v>
      </c>
      <c r="O39" s="82"/>
      <c r="P39" s="82"/>
    </row>
    <row r="40" spans="1:16" s="11" customFormat="1" ht="15.9" customHeight="1">
      <c r="A40" s="389"/>
      <c r="B40" s="389"/>
      <c r="C40" s="389"/>
      <c r="D40" s="344" t="s">
        <v>482</v>
      </c>
      <c r="E40" s="392">
        <v>307</v>
      </c>
      <c r="F40" s="392">
        <v>845</v>
      </c>
      <c r="G40" s="393">
        <v>2.7524429967000001</v>
      </c>
      <c r="H40" s="392">
        <v>290</v>
      </c>
      <c r="I40" s="392">
        <v>710</v>
      </c>
      <c r="J40" s="394">
        <v>2.4482758621</v>
      </c>
      <c r="K40" s="392">
        <v>286</v>
      </c>
      <c r="L40" s="392">
        <v>666</v>
      </c>
      <c r="M40" s="395">
        <f t="shared" si="2"/>
        <v>2.3286713286713288</v>
      </c>
      <c r="O40" s="82"/>
      <c r="P40" s="82"/>
    </row>
    <row r="41" spans="1:16" s="11" customFormat="1" ht="15.9" customHeight="1">
      <c r="A41" s="389"/>
      <c r="B41" s="389"/>
      <c r="C41" s="389"/>
      <c r="D41" s="344" t="s">
        <v>483</v>
      </c>
      <c r="E41" s="392">
        <v>80</v>
      </c>
      <c r="F41" s="392">
        <v>197</v>
      </c>
      <c r="G41" s="393">
        <v>2.4624999999999999</v>
      </c>
      <c r="H41" s="392">
        <v>71</v>
      </c>
      <c r="I41" s="392">
        <v>182</v>
      </c>
      <c r="J41" s="394">
        <v>2.5633802817000002</v>
      </c>
      <c r="K41" s="392">
        <v>50</v>
      </c>
      <c r="L41" s="392">
        <v>139</v>
      </c>
      <c r="M41" s="395">
        <f t="shared" si="2"/>
        <v>2.78</v>
      </c>
      <c r="O41" s="82"/>
      <c r="P41" s="82"/>
    </row>
    <row r="42" spans="1:16" s="11" customFormat="1" ht="15.9" customHeight="1">
      <c r="A42" s="389"/>
      <c r="B42" s="389"/>
      <c r="C42" s="389"/>
      <c r="D42" s="344" t="s">
        <v>484</v>
      </c>
      <c r="E42" s="392">
        <v>17</v>
      </c>
      <c r="F42" s="392">
        <v>36</v>
      </c>
      <c r="G42" s="393">
        <v>2.1176470587999998</v>
      </c>
      <c r="H42" s="392">
        <v>13</v>
      </c>
      <c r="I42" s="392">
        <v>25</v>
      </c>
      <c r="J42" s="394">
        <v>1.9230769231</v>
      </c>
      <c r="K42" s="392">
        <v>15</v>
      </c>
      <c r="L42" s="392">
        <v>34</v>
      </c>
      <c r="M42" s="395">
        <f t="shared" si="2"/>
        <v>2.2666666666666666</v>
      </c>
      <c r="O42" s="82"/>
      <c r="P42" s="82"/>
    </row>
    <row r="43" spans="1:16" s="11" customFormat="1" ht="15.9" customHeight="1">
      <c r="A43" s="389"/>
      <c r="B43" s="389"/>
      <c r="C43" s="389"/>
      <c r="D43" s="344" t="s">
        <v>485</v>
      </c>
      <c r="E43" s="392">
        <v>4</v>
      </c>
      <c r="F43" s="392">
        <v>8</v>
      </c>
      <c r="G43" s="393">
        <v>2</v>
      </c>
      <c r="H43" s="392">
        <v>3</v>
      </c>
      <c r="I43" s="392">
        <v>4</v>
      </c>
      <c r="J43" s="394">
        <v>1.3333333332999999</v>
      </c>
      <c r="K43" s="392" t="s">
        <v>384</v>
      </c>
      <c r="L43" s="392" t="s">
        <v>384</v>
      </c>
      <c r="M43" s="395" t="s">
        <v>384</v>
      </c>
      <c r="O43" s="82"/>
      <c r="P43" s="82"/>
    </row>
    <row r="44" spans="1:16" s="11" customFormat="1" ht="15.9" customHeight="1">
      <c r="A44" s="389"/>
      <c r="B44" s="389"/>
      <c r="C44" s="2278" t="s">
        <v>486</v>
      </c>
      <c r="D44" s="2279"/>
      <c r="E44" s="392" t="s">
        <v>345</v>
      </c>
      <c r="F44" s="392" t="s">
        <v>345</v>
      </c>
      <c r="G44" s="393" t="s">
        <v>345</v>
      </c>
      <c r="H44" s="392">
        <v>1</v>
      </c>
      <c r="I44" s="392">
        <v>5</v>
      </c>
      <c r="J44" s="394">
        <v>5</v>
      </c>
      <c r="K44" s="392">
        <v>1</v>
      </c>
      <c r="L44" s="392">
        <v>1</v>
      </c>
      <c r="M44" s="395">
        <f t="shared" si="2"/>
        <v>1</v>
      </c>
      <c r="O44" s="82"/>
      <c r="P44" s="82"/>
    </row>
    <row r="45" spans="1:16" s="11" customFormat="1" ht="15.9" customHeight="1" thickBot="1">
      <c r="A45" s="2280" t="s">
        <v>487</v>
      </c>
      <c r="B45" s="2280"/>
      <c r="C45" s="2280"/>
      <c r="D45" s="2281"/>
      <c r="E45" s="398" t="s">
        <v>345</v>
      </c>
      <c r="F45" s="398" t="s">
        <v>345</v>
      </c>
      <c r="G45" s="399" t="s">
        <v>345</v>
      </c>
      <c r="H45" s="398">
        <v>2</v>
      </c>
      <c r="I45" s="398">
        <v>4</v>
      </c>
      <c r="J45" s="400">
        <v>2</v>
      </c>
      <c r="K45" s="398">
        <v>2</v>
      </c>
      <c r="L45" s="398">
        <v>6</v>
      </c>
      <c r="M45" s="401">
        <f>+IFERROR(L45/K45,"")</f>
        <v>3</v>
      </c>
      <c r="O45" s="82"/>
      <c r="P45" s="82"/>
    </row>
    <row r="46" spans="1:16">
      <c r="A46" s="29" t="s">
        <v>490</v>
      </c>
    </row>
  </sheetData>
  <mergeCells count="54">
    <mergeCell ref="A7:D7"/>
    <mergeCell ref="A3:D6"/>
    <mergeCell ref="E3:G3"/>
    <mergeCell ref="H3:J3"/>
    <mergeCell ref="K3:M3"/>
    <mergeCell ref="E4:E6"/>
    <mergeCell ref="F4:F6"/>
    <mergeCell ref="G4:G6"/>
    <mergeCell ref="H4:H6"/>
    <mergeCell ref="I4:I6"/>
    <mergeCell ref="J4:J6"/>
    <mergeCell ref="K4:K6"/>
    <mergeCell ref="L4:L6"/>
    <mergeCell ref="M4:M6"/>
    <mergeCell ref="B8:D8"/>
    <mergeCell ref="C9:D9"/>
    <mergeCell ref="C14:D14"/>
    <mergeCell ref="A15:D15"/>
    <mergeCell ref="A18:D21"/>
    <mergeCell ref="H18:J18"/>
    <mergeCell ref="K18:M18"/>
    <mergeCell ref="E19:E21"/>
    <mergeCell ref="F19:F21"/>
    <mergeCell ref="G19:G21"/>
    <mergeCell ref="H19:H21"/>
    <mergeCell ref="I19:I21"/>
    <mergeCell ref="J19:J21"/>
    <mergeCell ref="K19:K21"/>
    <mergeCell ref="L19:L21"/>
    <mergeCell ref="E18:G18"/>
    <mergeCell ref="I34:I36"/>
    <mergeCell ref="J34:J36"/>
    <mergeCell ref="M19:M21"/>
    <mergeCell ref="A22:D22"/>
    <mergeCell ref="B23:D23"/>
    <mergeCell ref="C24:D24"/>
    <mergeCell ref="C29:D29"/>
    <mergeCell ref="A30:D30"/>
    <mergeCell ref="C44:D44"/>
    <mergeCell ref="A45:D45"/>
    <mergeCell ref="K34:K36"/>
    <mergeCell ref="L34:L36"/>
    <mergeCell ref="M34:M36"/>
    <mergeCell ref="A37:D37"/>
    <mergeCell ref="B38:D38"/>
    <mergeCell ref="C39:D39"/>
    <mergeCell ref="A33:D36"/>
    <mergeCell ref="E33:G33"/>
    <mergeCell ref="H33:J33"/>
    <mergeCell ref="K33:M33"/>
    <mergeCell ref="E34:E36"/>
    <mergeCell ref="F34:F36"/>
    <mergeCell ref="G34:G36"/>
    <mergeCell ref="H34:H36"/>
  </mergeCells>
  <phoneticPr fontId="4"/>
  <pageMargins left="0.7" right="0.7" top="0.75" bottom="0.75" header="0.3" footer="0.3"/>
  <pageSetup paperSize="9" scale="63"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820DB-8448-492A-9274-82605B2426A1}">
  <sheetPr codeName="Sheet26"/>
  <dimension ref="A1:K35"/>
  <sheetViews>
    <sheetView zoomScaleNormal="100" workbookViewId="0"/>
  </sheetViews>
  <sheetFormatPr defaultRowHeight="18"/>
  <cols>
    <col min="1" max="1" width="7.296875" style="405" customWidth="1"/>
    <col min="2" max="4" width="6.19921875" style="405" customWidth="1"/>
    <col min="5" max="12" width="8.3984375" style="405" customWidth="1"/>
    <col min="13" max="257" width="9" style="405"/>
    <col min="258" max="268" width="8.3984375" style="405" customWidth="1"/>
    <col min="269" max="513" width="9" style="405"/>
    <col min="514" max="524" width="8.3984375" style="405" customWidth="1"/>
    <col min="525" max="769" width="9" style="405"/>
    <col min="770" max="780" width="8.3984375" style="405" customWidth="1"/>
    <col min="781" max="1025" width="9" style="405"/>
    <col min="1026" max="1036" width="8.3984375" style="405" customWidth="1"/>
    <col min="1037" max="1281" width="9" style="405"/>
    <col min="1282" max="1292" width="8.3984375" style="405" customWidth="1"/>
    <col min="1293" max="1537" width="9" style="405"/>
    <col min="1538" max="1548" width="8.3984375" style="405" customWidth="1"/>
    <col min="1549" max="1793" width="9" style="405"/>
    <col min="1794" max="1804" width="8.3984375" style="405" customWidth="1"/>
    <col min="1805" max="2049" width="9" style="405"/>
    <col min="2050" max="2060" width="8.3984375" style="405" customWidth="1"/>
    <col min="2061" max="2305" width="9" style="405"/>
    <col min="2306" max="2316" width="8.3984375" style="405" customWidth="1"/>
    <col min="2317" max="2561" width="9" style="405"/>
    <col min="2562" max="2572" width="8.3984375" style="405" customWidth="1"/>
    <col min="2573" max="2817" width="9" style="405"/>
    <col min="2818" max="2828" width="8.3984375" style="405" customWidth="1"/>
    <col min="2829" max="3073" width="9" style="405"/>
    <col min="3074" max="3084" width="8.3984375" style="405" customWidth="1"/>
    <col min="3085" max="3329" width="9" style="405"/>
    <col min="3330" max="3340" width="8.3984375" style="405" customWidth="1"/>
    <col min="3341" max="3585" width="9" style="405"/>
    <col min="3586" max="3596" width="8.3984375" style="405" customWidth="1"/>
    <col min="3597" max="3841" width="9" style="405"/>
    <col min="3842" max="3852" width="8.3984375" style="405" customWidth="1"/>
    <col min="3853" max="4097" width="9" style="405"/>
    <col min="4098" max="4108" width="8.3984375" style="405" customWidth="1"/>
    <col min="4109" max="4353" width="9" style="405"/>
    <col min="4354" max="4364" width="8.3984375" style="405" customWidth="1"/>
    <col min="4365" max="4609" width="9" style="405"/>
    <col min="4610" max="4620" width="8.3984375" style="405" customWidth="1"/>
    <col min="4621" max="4865" width="9" style="405"/>
    <col min="4866" max="4876" width="8.3984375" style="405" customWidth="1"/>
    <col min="4877" max="5121" width="9" style="405"/>
    <col min="5122" max="5132" width="8.3984375" style="405" customWidth="1"/>
    <col min="5133" max="5377" width="9" style="405"/>
    <col min="5378" max="5388" width="8.3984375" style="405" customWidth="1"/>
    <col min="5389" max="5633" width="9" style="405"/>
    <col min="5634" max="5644" width="8.3984375" style="405" customWidth="1"/>
    <col min="5645" max="5889" width="9" style="405"/>
    <col min="5890" max="5900" width="8.3984375" style="405" customWidth="1"/>
    <col min="5901" max="6145" width="9" style="405"/>
    <col min="6146" max="6156" width="8.3984375" style="405" customWidth="1"/>
    <col min="6157" max="6401" width="9" style="405"/>
    <col min="6402" max="6412" width="8.3984375" style="405" customWidth="1"/>
    <col min="6413" max="6657" width="9" style="405"/>
    <col min="6658" max="6668" width="8.3984375" style="405" customWidth="1"/>
    <col min="6669" max="6913" width="9" style="405"/>
    <col min="6914" max="6924" width="8.3984375" style="405" customWidth="1"/>
    <col min="6925" max="7169" width="9" style="405"/>
    <col min="7170" max="7180" width="8.3984375" style="405" customWidth="1"/>
    <col min="7181" max="7425" width="9" style="405"/>
    <col min="7426" max="7436" width="8.3984375" style="405" customWidth="1"/>
    <col min="7437" max="7681" width="9" style="405"/>
    <col min="7682" max="7692" width="8.3984375" style="405" customWidth="1"/>
    <col min="7693" max="7937" width="9" style="405"/>
    <col min="7938" max="7948" width="8.3984375" style="405" customWidth="1"/>
    <col min="7949" max="8193" width="9" style="405"/>
    <col min="8194" max="8204" width="8.3984375" style="405" customWidth="1"/>
    <col min="8205" max="8449" width="9" style="405"/>
    <col min="8450" max="8460" width="8.3984375" style="405" customWidth="1"/>
    <col min="8461" max="8705" width="9" style="405"/>
    <col min="8706" max="8716" width="8.3984375" style="405" customWidth="1"/>
    <col min="8717" max="8961" width="9" style="405"/>
    <col min="8962" max="8972" width="8.3984375" style="405" customWidth="1"/>
    <col min="8973" max="9217" width="9" style="405"/>
    <col min="9218" max="9228" width="8.3984375" style="405" customWidth="1"/>
    <col min="9229" max="9473" width="9" style="405"/>
    <col min="9474" max="9484" width="8.3984375" style="405" customWidth="1"/>
    <col min="9485" max="9729" width="9" style="405"/>
    <col min="9730" max="9740" width="8.3984375" style="405" customWidth="1"/>
    <col min="9741" max="9985" width="9" style="405"/>
    <col min="9986" max="9996" width="8.3984375" style="405" customWidth="1"/>
    <col min="9997" max="10241" width="9" style="405"/>
    <col min="10242" max="10252" width="8.3984375" style="405" customWidth="1"/>
    <col min="10253" max="10497" width="9" style="405"/>
    <col min="10498" max="10508" width="8.3984375" style="405" customWidth="1"/>
    <col min="10509" max="10753" width="9" style="405"/>
    <col min="10754" max="10764" width="8.3984375" style="405" customWidth="1"/>
    <col min="10765" max="11009" width="9" style="405"/>
    <col min="11010" max="11020" width="8.3984375" style="405" customWidth="1"/>
    <col min="11021" max="11265" width="9" style="405"/>
    <col min="11266" max="11276" width="8.3984375" style="405" customWidth="1"/>
    <col min="11277" max="11521" width="9" style="405"/>
    <col min="11522" max="11532" width="8.3984375" style="405" customWidth="1"/>
    <col min="11533" max="11777" width="9" style="405"/>
    <col min="11778" max="11788" width="8.3984375" style="405" customWidth="1"/>
    <col min="11789" max="12033" width="9" style="405"/>
    <col min="12034" max="12044" width="8.3984375" style="405" customWidth="1"/>
    <col min="12045" max="12289" width="9" style="405"/>
    <col min="12290" max="12300" width="8.3984375" style="405" customWidth="1"/>
    <col min="12301" max="12545" width="9" style="405"/>
    <col min="12546" max="12556" width="8.3984375" style="405" customWidth="1"/>
    <col min="12557" max="12801" width="9" style="405"/>
    <col min="12802" max="12812" width="8.3984375" style="405" customWidth="1"/>
    <col min="12813" max="13057" width="9" style="405"/>
    <col min="13058" max="13068" width="8.3984375" style="405" customWidth="1"/>
    <col min="13069" max="13313" width="9" style="405"/>
    <col min="13314" max="13324" width="8.3984375" style="405" customWidth="1"/>
    <col min="13325" max="13569" width="9" style="405"/>
    <col min="13570" max="13580" width="8.3984375" style="405" customWidth="1"/>
    <col min="13581" max="13825" width="9" style="405"/>
    <col min="13826" max="13836" width="8.3984375" style="405" customWidth="1"/>
    <col min="13837" max="14081" width="9" style="405"/>
    <col min="14082" max="14092" width="8.3984375" style="405" customWidth="1"/>
    <col min="14093" max="14337" width="9" style="405"/>
    <col min="14338" max="14348" width="8.3984375" style="405" customWidth="1"/>
    <col min="14349" max="14593" width="9" style="405"/>
    <col min="14594" max="14604" width="8.3984375" style="405" customWidth="1"/>
    <col min="14605" max="14849" width="9" style="405"/>
    <col min="14850" max="14860" width="8.3984375" style="405" customWidth="1"/>
    <col min="14861" max="15105" width="9" style="405"/>
    <col min="15106" max="15116" width="8.3984375" style="405" customWidth="1"/>
    <col min="15117" max="15361" width="9" style="405"/>
    <col min="15362" max="15372" width="8.3984375" style="405" customWidth="1"/>
    <col min="15373" max="15617" width="9" style="405"/>
    <col min="15618" max="15628" width="8.3984375" style="405" customWidth="1"/>
    <col min="15629" max="15873" width="9" style="405"/>
    <col min="15874" max="15884" width="8.3984375" style="405" customWidth="1"/>
    <col min="15885" max="16129" width="9" style="405"/>
    <col min="16130" max="16140" width="8.3984375" style="405" customWidth="1"/>
    <col min="16141" max="16384" width="9" style="405"/>
  </cols>
  <sheetData>
    <row r="1" spans="1:11" ht="30" customHeight="1">
      <c r="A1" s="403" t="s">
        <v>491</v>
      </c>
      <c r="B1" s="403"/>
      <c r="C1" s="403"/>
      <c r="D1" s="403"/>
      <c r="E1" s="403"/>
      <c r="F1" s="403"/>
      <c r="G1" s="403"/>
      <c r="H1" s="403"/>
      <c r="I1" s="404"/>
      <c r="J1" s="404"/>
      <c r="K1" s="404"/>
    </row>
    <row r="2" spans="1:11" ht="18.600000000000001" thickBot="1">
      <c r="A2" s="403"/>
      <c r="B2" s="403"/>
      <c r="C2" s="403"/>
      <c r="D2" s="403"/>
      <c r="E2" s="403"/>
      <c r="F2" s="403"/>
      <c r="G2" s="403"/>
      <c r="H2" s="403"/>
      <c r="I2" s="406"/>
      <c r="J2" s="406"/>
      <c r="K2" s="406" t="s">
        <v>370</v>
      </c>
    </row>
    <row r="3" spans="1:11" s="408" customFormat="1" ht="18" customHeight="1">
      <c r="A3" s="2304" t="s">
        <v>492</v>
      </c>
      <c r="B3" s="2304"/>
      <c r="C3" s="2304"/>
      <c r="D3" s="2305"/>
      <c r="E3" s="2302" t="s">
        <v>493</v>
      </c>
      <c r="F3" s="2302" t="s">
        <v>494</v>
      </c>
      <c r="G3" s="2302" t="s">
        <v>495</v>
      </c>
      <c r="H3" s="2302" t="s">
        <v>496</v>
      </c>
      <c r="I3" s="2302" t="s">
        <v>497</v>
      </c>
      <c r="J3" s="2302" t="s">
        <v>498</v>
      </c>
      <c r="K3" s="407" t="s">
        <v>499</v>
      </c>
    </row>
    <row r="4" spans="1:11" s="408" customFormat="1" ht="18" customHeight="1">
      <c r="A4" s="2306"/>
      <c r="B4" s="2306"/>
      <c r="C4" s="2306"/>
      <c r="D4" s="2307"/>
      <c r="E4" s="2303"/>
      <c r="F4" s="2303"/>
      <c r="G4" s="2303"/>
      <c r="H4" s="2303"/>
      <c r="I4" s="2303"/>
      <c r="J4" s="2303"/>
      <c r="K4" s="409" t="s">
        <v>500</v>
      </c>
    </row>
    <row r="5" spans="1:11" s="408" customFormat="1" ht="18.75" customHeight="1">
      <c r="A5" s="2294" t="s">
        <v>311</v>
      </c>
      <c r="B5" s="2294" t="s">
        <v>501</v>
      </c>
      <c r="C5" s="2294"/>
      <c r="D5" s="2297"/>
      <c r="E5" s="330">
        <v>1029</v>
      </c>
      <c r="F5" s="330">
        <v>190</v>
      </c>
      <c r="G5" s="330">
        <v>238</v>
      </c>
      <c r="H5" s="330">
        <v>257</v>
      </c>
      <c r="I5" s="330">
        <v>213</v>
      </c>
      <c r="J5" s="330">
        <v>131</v>
      </c>
      <c r="K5" s="410">
        <v>1219</v>
      </c>
    </row>
    <row r="6" spans="1:11" s="408" customFormat="1" ht="18.75" customHeight="1">
      <c r="A6" s="2295"/>
      <c r="B6" s="2295" t="s">
        <v>164</v>
      </c>
      <c r="C6" s="2295"/>
      <c r="D6" s="2298"/>
      <c r="E6" s="111">
        <v>255</v>
      </c>
      <c r="F6" s="111">
        <v>63</v>
      </c>
      <c r="G6" s="111">
        <v>58</v>
      </c>
      <c r="H6" s="111">
        <v>57</v>
      </c>
      <c r="I6" s="111">
        <v>48</v>
      </c>
      <c r="J6" s="111">
        <v>29</v>
      </c>
      <c r="K6" s="349">
        <v>350</v>
      </c>
    </row>
    <row r="7" spans="1:11" s="408" customFormat="1" ht="18.75" customHeight="1">
      <c r="A7" s="2296"/>
      <c r="B7" s="2296" t="s">
        <v>165</v>
      </c>
      <c r="C7" s="2296"/>
      <c r="D7" s="2299"/>
      <c r="E7" s="198">
        <v>774</v>
      </c>
      <c r="F7" s="198">
        <v>127</v>
      </c>
      <c r="G7" s="198">
        <v>180</v>
      </c>
      <c r="H7" s="198">
        <v>200</v>
      </c>
      <c r="I7" s="198">
        <v>165</v>
      </c>
      <c r="J7" s="198">
        <v>102</v>
      </c>
      <c r="K7" s="412">
        <v>869</v>
      </c>
    </row>
    <row r="8" spans="1:11" s="408" customFormat="1" ht="18.75" customHeight="1">
      <c r="A8" s="2294" t="s">
        <v>316</v>
      </c>
      <c r="B8" s="2294" t="s">
        <v>501</v>
      </c>
      <c r="C8" s="2294"/>
      <c r="D8" s="2297"/>
      <c r="E8" s="330">
        <v>1202</v>
      </c>
      <c r="F8" s="330">
        <v>247</v>
      </c>
      <c r="G8" s="330">
        <v>212</v>
      </c>
      <c r="H8" s="330">
        <v>280</v>
      </c>
      <c r="I8" s="330">
        <v>263</v>
      </c>
      <c r="J8" s="330">
        <v>200</v>
      </c>
      <c r="K8" s="410">
        <v>1493</v>
      </c>
    </row>
    <row r="9" spans="1:11" s="408" customFormat="1" ht="18.75" customHeight="1">
      <c r="A9" s="2295"/>
      <c r="B9" s="2295" t="s">
        <v>164</v>
      </c>
      <c r="C9" s="2295"/>
      <c r="D9" s="2298"/>
      <c r="E9" s="111">
        <v>329</v>
      </c>
      <c r="F9" s="111">
        <v>107</v>
      </c>
      <c r="G9" s="111">
        <v>60</v>
      </c>
      <c r="H9" s="111">
        <v>65</v>
      </c>
      <c r="I9" s="111">
        <v>52</v>
      </c>
      <c r="J9" s="111">
        <v>45</v>
      </c>
      <c r="K9" s="349">
        <v>497</v>
      </c>
    </row>
    <row r="10" spans="1:11" s="408" customFormat="1" ht="18.75" customHeight="1">
      <c r="A10" s="2296"/>
      <c r="B10" s="2296" t="s">
        <v>165</v>
      </c>
      <c r="C10" s="2296"/>
      <c r="D10" s="2299"/>
      <c r="E10" s="198">
        <v>873</v>
      </c>
      <c r="F10" s="198">
        <v>140</v>
      </c>
      <c r="G10" s="198">
        <v>152</v>
      </c>
      <c r="H10" s="198">
        <v>215</v>
      </c>
      <c r="I10" s="198">
        <v>211</v>
      </c>
      <c r="J10" s="198">
        <v>155</v>
      </c>
      <c r="K10" s="412">
        <v>996</v>
      </c>
    </row>
    <row r="11" spans="1:11" s="408" customFormat="1" ht="18.75" customHeight="1">
      <c r="A11" s="2294" t="s">
        <v>319</v>
      </c>
      <c r="B11" s="2294" t="s">
        <v>501</v>
      </c>
      <c r="C11" s="2294"/>
      <c r="D11" s="2297"/>
      <c r="E11" s="330">
        <v>1419</v>
      </c>
      <c r="F11" s="330">
        <v>328</v>
      </c>
      <c r="G11" s="330">
        <v>270</v>
      </c>
      <c r="H11" s="330">
        <v>228</v>
      </c>
      <c r="I11" s="330">
        <v>281</v>
      </c>
      <c r="J11" s="330">
        <v>312</v>
      </c>
      <c r="K11" s="410">
        <v>1627</v>
      </c>
    </row>
    <row r="12" spans="1:11" s="408" customFormat="1" ht="18.75" customHeight="1">
      <c r="A12" s="2295"/>
      <c r="B12" s="2295" t="s">
        <v>164</v>
      </c>
      <c r="C12" s="2295"/>
      <c r="D12" s="2298"/>
      <c r="E12" s="111">
        <v>453</v>
      </c>
      <c r="F12" s="111">
        <v>171</v>
      </c>
      <c r="G12" s="111">
        <v>101</v>
      </c>
      <c r="H12" s="111">
        <v>56</v>
      </c>
      <c r="I12" s="111">
        <v>55</v>
      </c>
      <c r="J12" s="111">
        <v>70</v>
      </c>
      <c r="K12" s="349">
        <v>587</v>
      </c>
    </row>
    <row r="13" spans="1:11" s="408" customFormat="1" ht="18.75" customHeight="1">
      <c r="A13" s="2296"/>
      <c r="B13" s="2296" t="s">
        <v>165</v>
      </c>
      <c r="C13" s="2296"/>
      <c r="D13" s="2299"/>
      <c r="E13" s="198">
        <v>966</v>
      </c>
      <c r="F13" s="198">
        <v>157</v>
      </c>
      <c r="G13" s="198">
        <v>169</v>
      </c>
      <c r="H13" s="198">
        <v>172</v>
      </c>
      <c r="I13" s="198">
        <v>226</v>
      </c>
      <c r="J13" s="198">
        <v>242</v>
      </c>
      <c r="K13" s="412">
        <v>1040</v>
      </c>
    </row>
    <row r="14" spans="1:11" s="408" customFormat="1" ht="18.75" customHeight="1">
      <c r="A14" s="2295" t="s">
        <v>43</v>
      </c>
      <c r="B14" s="2295" t="s">
        <v>501</v>
      </c>
      <c r="C14" s="2295"/>
      <c r="D14" s="2298"/>
      <c r="E14" s="321">
        <v>1568</v>
      </c>
      <c r="F14" s="321">
        <v>251</v>
      </c>
      <c r="G14" s="321">
        <v>362</v>
      </c>
      <c r="H14" s="321">
        <v>275</v>
      </c>
      <c r="I14" s="321">
        <v>238</v>
      </c>
      <c r="J14" s="321">
        <f>245+155+38+4</f>
        <v>442</v>
      </c>
      <c r="K14" s="413">
        <f>208+251+362+275+238+245+155+38+4</f>
        <v>1776</v>
      </c>
    </row>
    <row r="15" spans="1:11" s="408" customFormat="1" ht="18.75" customHeight="1">
      <c r="A15" s="2295"/>
      <c r="B15" s="2295" t="s">
        <v>164</v>
      </c>
      <c r="C15" s="2295"/>
      <c r="D15" s="2298"/>
      <c r="E15" s="321">
        <v>576</v>
      </c>
      <c r="F15" s="414">
        <v>150</v>
      </c>
      <c r="G15" s="414">
        <v>182</v>
      </c>
      <c r="H15" s="414">
        <v>86</v>
      </c>
      <c r="I15" s="414">
        <v>60</v>
      </c>
      <c r="J15" s="415">
        <v>98</v>
      </c>
      <c r="K15" s="413">
        <v>693</v>
      </c>
    </row>
    <row r="16" spans="1:11" s="408" customFormat="1" ht="18.75" customHeight="1" thickBot="1">
      <c r="A16" s="2300"/>
      <c r="B16" s="2300" t="s">
        <v>165</v>
      </c>
      <c r="C16" s="2300"/>
      <c r="D16" s="2301"/>
      <c r="E16" s="339">
        <v>992</v>
      </c>
      <c r="F16" s="416">
        <v>101</v>
      </c>
      <c r="G16" s="416">
        <v>180</v>
      </c>
      <c r="H16" s="416">
        <v>189</v>
      </c>
      <c r="I16" s="416">
        <v>178</v>
      </c>
      <c r="J16" s="417">
        <v>344</v>
      </c>
      <c r="K16" s="418">
        <v>1083</v>
      </c>
    </row>
    <row r="17" spans="1:11" s="408" customFormat="1" ht="18.75" customHeight="1">
      <c r="A17" s="408" t="s">
        <v>172</v>
      </c>
    </row>
    <row r="18" spans="1:11" ht="18.75" customHeight="1">
      <c r="A18" s="419"/>
      <c r="B18" s="419"/>
      <c r="C18" s="419"/>
      <c r="D18" s="419"/>
      <c r="E18" s="419"/>
      <c r="F18" s="419"/>
      <c r="G18" s="419"/>
      <c r="H18" s="419"/>
      <c r="I18" s="419"/>
      <c r="J18" s="419"/>
      <c r="K18" s="419"/>
    </row>
    <row r="19" spans="1:11" ht="18.75" customHeight="1">
      <c r="A19" s="419"/>
      <c r="B19" s="419"/>
      <c r="C19" s="419"/>
      <c r="D19" s="419"/>
      <c r="E19" s="419"/>
      <c r="F19" s="419"/>
      <c r="G19" s="419"/>
      <c r="H19" s="419"/>
      <c r="I19" s="419"/>
      <c r="J19" s="419"/>
      <c r="K19" s="419"/>
    </row>
    <row r="20" spans="1:11" ht="18.75" customHeight="1">
      <c r="A20" s="419"/>
      <c r="B20" s="419"/>
      <c r="C20" s="419"/>
      <c r="D20" s="419"/>
      <c r="E20" s="419"/>
      <c r="F20" s="419"/>
      <c r="G20" s="419"/>
      <c r="H20" s="419"/>
      <c r="I20" s="419"/>
      <c r="J20" s="419"/>
      <c r="K20" s="419"/>
    </row>
    <row r="21" spans="1:11" ht="18.75" customHeight="1">
      <c r="A21" s="419"/>
      <c r="B21" s="419"/>
      <c r="C21" s="419"/>
      <c r="D21" s="419"/>
      <c r="E21" s="419"/>
      <c r="F21" s="419"/>
      <c r="G21" s="419"/>
      <c r="H21" s="419"/>
      <c r="I21" s="419"/>
      <c r="J21" s="419"/>
      <c r="K21" s="419"/>
    </row>
    <row r="22" spans="1:11" ht="18.75" customHeight="1">
      <c r="A22" s="419"/>
      <c r="B22" s="419"/>
      <c r="C22" s="419"/>
      <c r="D22" s="419"/>
      <c r="E22" s="419"/>
      <c r="F22" s="419"/>
      <c r="G22" s="419"/>
      <c r="H22" s="419"/>
      <c r="I22" s="419"/>
      <c r="J22" s="419"/>
      <c r="K22" s="419"/>
    </row>
    <row r="23" spans="1:11" ht="18.75" customHeight="1">
      <c r="A23" s="419"/>
      <c r="B23" s="419"/>
      <c r="C23" s="419"/>
      <c r="D23" s="419"/>
      <c r="E23" s="419"/>
      <c r="F23" s="419"/>
      <c r="G23" s="419"/>
      <c r="H23" s="419"/>
      <c r="I23" s="419"/>
      <c r="J23" s="419"/>
      <c r="K23" s="419"/>
    </row>
    <row r="24" spans="1:11" ht="18.75" customHeight="1">
      <c r="A24" s="419"/>
      <c r="B24" s="419"/>
      <c r="C24" s="419"/>
      <c r="D24" s="419"/>
      <c r="E24" s="419"/>
      <c r="F24" s="419"/>
      <c r="G24" s="419"/>
      <c r="H24" s="419"/>
      <c r="I24" s="419"/>
      <c r="J24" s="419"/>
      <c r="K24" s="419"/>
    </row>
    <row r="25" spans="1:11" ht="18.75" customHeight="1">
      <c r="A25" s="419"/>
      <c r="B25" s="419"/>
      <c r="C25" s="419"/>
      <c r="D25" s="419"/>
      <c r="E25" s="419"/>
      <c r="F25" s="419"/>
      <c r="G25" s="419"/>
      <c r="H25" s="419"/>
      <c r="I25" s="419"/>
      <c r="J25" s="419"/>
      <c r="K25" s="419"/>
    </row>
    <row r="26" spans="1:11" ht="18.75" customHeight="1">
      <c r="A26" s="419"/>
      <c r="B26" s="419"/>
      <c r="C26" s="419"/>
      <c r="D26" s="419"/>
      <c r="E26" s="419"/>
      <c r="F26" s="419"/>
      <c r="G26" s="419"/>
      <c r="H26" s="419"/>
      <c r="I26" s="419"/>
      <c r="J26" s="419"/>
      <c r="K26" s="419"/>
    </row>
    <row r="27" spans="1:11" ht="18.75" customHeight="1">
      <c r="A27" s="419"/>
      <c r="B27" s="419"/>
      <c r="C27" s="419"/>
      <c r="D27" s="419"/>
      <c r="E27" s="419"/>
      <c r="F27" s="419"/>
      <c r="G27" s="419"/>
      <c r="H27" s="419"/>
      <c r="I27" s="419"/>
      <c r="J27" s="419"/>
      <c r="K27" s="419"/>
    </row>
    <row r="28" spans="1:11" ht="18.75" customHeight="1">
      <c r="A28" s="419"/>
      <c r="B28" s="419"/>
      <c r="C28" s="419"/>
      <c r="D28" s="419"/>
      <c r="E28" s="419"/>
      <c r="F28" s="419"/>
      <c r="G28" s="419"/>
      <c r="H28" s="419"/>
      <c r="I28" s="419"/>
      <c r="J28" s="419"/>
      <c r="K28" s="419"/>
    </row>
    <row r="29" spans="1:11" ht="18.75" customHeight="1"/>
    <row r="30" spans="1:11" ht="18.75" customHeight="1"/>
    <row r="31" spans="1:11" ht="18.75" customHeight="1"/>
    <row r="32" spans="1:11" ht="18.75" customHeight="1"/>
    <row r="33" ht="18.75" customHeight="1"/>
    <row r="34" ht="18.75" customHeight="1"/>
    <row r="35" ht="18.75" customHeight="1"/>
  </sheetData>
  <mergeCells count="23">
    <mergeCell ref="A8:A10"/>
    <mergeCell ref="B8:D8"/>
    <mergeCell ref="B9:D9"/>
    <mergeCell ref="B10:D10"/>
    <mergeCell ref="A3:D4"/>
    <mergeCell ref="J3:J4"/>
    <mergeCell ref="A5:A7"/>
    <mergeCell ref="B5:D5"/>
    <mergeCell ref="B6:D6"/>
    <mergeCell ref="B7:D7"/>
    <mergeCell ref="E3:E4"/>
    <mergeCell ref="F3:F4"/>
    <mergeCell ref="G3:G4"/>
    <mergeCell ref="H3:H4"/>
    <mergeCell ref="I3:I4"/>
    <mergeCell ref="A11:A13"/>
    <mergeCell ref="B11:D11"/>
    <mergeCell ref="B12:D12"/>
    <mergeCell ref="B13:D13"/>
    <mergeCell ref="A14:A16"/>
    <mergeCell ref="B14:D14"/>
    <mergeCell ref="B15:D15"/>
    <mergeCell ref="B16:D16"/>
  </mergeCells>
  <phoneticPr fontId="4"/>
  <pageMargins left="0.78740157480314965" right="0.78740157480314965" top="0.98425196850393704" bottom="0.98425196850393704" header="0.51181102362204722" footer="0.51181102362204722"/>
  <pageSetup paperSize="9" scale="9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F6607-8F7E-4CC1-A3DA-2A923DBC65EE}">
  <sheetPr codeName="Sheet27">
    <pageSetUpPr fitToPage="1"/>
  </sheetPr>
  <dimension ref="A1:P19"/>
  <sheetViews>
    <sheetView showGridLines="0" workbookViewId="0">
      <selection activeCell="B1" sqref="B1"/>
    </sheetView>
  </sheetViews>
  <sheetFormatPr defaultRowHeight="13.2"/>
  <cols>
    <col min="1" max="3" width="2.59765625" style="82" customWidth="1"/>
    <col min="4" max="4" width="24.09765625" style="82" customWidth="1"/>
    <col min="5" max="7" width="7.5" style="82" customWidth="1"/>
    <col min="8" max="8" width="8.19921875" style="82" customWidth="1"/>
    <col min="9" max="11" width="7.5" style="82" customWidth="1"/>
    <col min="12" max="12" width="8.19921875" style="82" customWidth="1"/>
    <col min="13" max="15" width="7.5" style="82" customWidth="1"/>
    <col min="16" max="16" width="8.19921875" style="82" customWidth="1"/>
    <col min="17" max="256" width="9" style="82"/>
    <col min="257" max="259" width="2.59765625" style="82" customWidth="1"/>
    <col min="260" max="260" width="24.09765625" style="82" customWidth="1"/>
    <col min="261" max="264" width="8.59765625" style="82" customWidth="1"/>
    <col min="265" max="512" width="9" style="82"/>
    <col min="513" max="515" width="2.59765625" style="82" customWidth="1"/>
    <col min="516" max="516" width="24.09765625" style="82" customWidth="1"/>
    <col min="517" max="520" width="8.59765625" style="82" customWidth="1"/>
    <col min="521" max="768" width="9" style="82"/>
    <col min="769" max="771" width="2.59765625" style="82" customWidth="1"/>
    <col min="772" max="772" width="24.09765625" style="82" customWidth="1"/>
    <col min="773" max="776" width="8.59765625" style="82" customWidth="1"/>
    <col min="777" max="1024" width="9" style="82"/>
    <col min="1025" max="1027" width="2.59765625" style="82" customWidth="1"/>
    <col min="1028" max="1028" width="24.09765625" style="82" customWidth="1"/>
    <col min="1029" max="1032" width="8.59765625" style="82" customWidth="1"/>
    <col min="1033" max="1280" width="9" style="82"/>
    <col min="1281" max="1283" width="2.59765625" style="82" customWidth="1"/>
    <col min="1284" max="1284" width="24.09765625" style="82" customWidth="1"/>
    <col min="1285" max="1288" width="8.59765625" style="82" customWidth="1"/>
    <col min="1289" max="1536" width="9" style="82"/>
    <col min="1537" max="1539" width="2.59765625" style="82" customWidth="1"/>
    <col min="1540" max="1540" width="24.09765625" style="82" customWidth="1"/>
    <col min="1541" max="1544" width="8.59765625" style="82" customWidth="1"/>
    <col min="1545" max="1792" width="9" style="82"/>
    <col min="1793" max="1795" width="2.59765625" style="82" customWidth="1"/>
    <col min="1796" max="1796" width="24.09765625" style="82" customWidth="1"/>
    <col min="1797" max="1800" width="8.59765625" style="82" customWidth="1"/>
    <col min="1801" max="2048" width="9" style="82"/>
    <col min="2049" max="2051" width="2.59765625" style="82" customWidth="1"/>
    <col min="2052" max="2052" width="24.09765625" style="82" customWidth="1"/>
    <col min="2053" max="2056" width="8.59765625" style="82" customWidth="1"/>
    <col min="2057" max="2304" width="9" style="82"/>
    <col min="2305" max="2307" width="2.59765625" style="82" customWidth="1"/>
    <col min="2308" max="2308" width="24.09765625" style="82" customWidth="1"/>
    <col min="2309" max="2312" width="8.59765625" style="82" customWidth="1"/>
    <col min="2313" max="2560" width="9" style="82"/>
    <col min="2561" max="2563" width="2.59765625" style="82" customWidth="1"/>
    <col min="2564" max="2564" width="24.09765625" style="82" customWidth="1"/>
    <col min="2565" max="2568" width="8.59765625" style="82" customWidth="1"/>
    <col min="2569" max="2816" width="9" style="82"/>
    <col min="2817" max="2819" width="2.59765625" style="82" customWidth="1"/>
    <col min="2820" max="2820" width="24.09765625" style="82" customWidth="1"/>
    <col min="2821" max="2824" width="8.59765625" style="82" customWidth="1"/>
    <col min="2825" max="3072" width="9" style="82"/>
    <col min="3073" max="3075" width="2.59765625" style="82" customWidth="1"/>
    <col min="3076" max="3076" width="24.09765625" style="82" customWidth="1"/>
    <col min="3077" max="3080" width="8.59765625" style="82" customWidth="1"/>
    <col min="3081" max="3328" width="9" style="82"/>
    <col min="3329" max="3331" width="2.59765625" style="82" customWidth="1"/>
    <col min="3332" max="3332" width="24.09765625" style="82" customWidth="1"/>
    <col min="3333" max="3336" width="8.59765625" style="82" customWidth="1"/>
    <col min="3337" max="3584" width="9" style="82"/>
    <col min="3585" max="3587" width="2.59765625" style="82" customWidth="1"/>
    <col min="3588" max="3588" width="24.09765625" style="82" customWidth="1"/>
    <col min="3589" max="3592" width="8.59765625" style="82" customWidth="1"/>
    <col min="3593" max="3840" width="9" style="82"/>
    <col min="3841" max="3843" width="2.59765625" style="82" customWidth="1"/>
    <col min="3844" max="3844" width="24.09765625" style="82" customWidth="1"/>
    <col min="3845" max="3848" width="8.59765625" style="82" customWidth="1"/>
    <col min="3849" max="4096" width="9" style="82"/>
    <col min="4097" max="4099" width="2.59765625" style="82" customWidth="1"/>
    <col min="4100" max="4100" width="24.09765625" style="82" customWidth="1"/>
    <col min="4101" max="4104" width="8.59765625" style="82" customWidth="1"/>
    <col min="4105" max="4352" width="9" style="82"/>
    <col min="4353" max="4355" width="2.59765625" style="82" customWidth="1"/>
    <col min="4356" max="4356" width="24.09765625" style="82" customWidth="1"/>
    <col min="4357" max="4360" width="8.59765625" style="82" customWidth="1"/>
    <col min="4361" max="4608" width="9" style="82"/>
    <col min="4609" max="4611" width="2.59765625" style="82" customWidth="1"/>
    <col min="4612" max="4612" width="24.09765625" style="82" customWidth="1"/>
    <col min="4613" max="4616" width="8.59765625" style="82" customWidth="1"/>
    <col min="4617" max="4864" width="9" style="82"/>
    <col min="4865" max="4867" width="2.59765625" style="82" customWidth="1"/>
    <col min="4868" max="4868" width="24.09765625" style="82" customWidth="1"/>
    <col min="4869" max="4872" width="8.59765625" style="82" customWidth="1"/>
    <col min="4873" max="5120" width="9" style="82"/>
    <col min="5121" max="5123" width="2.59765625" style="82" customWidth="1"/>
    <col min="5124" max="5124" width="24.09765625" style="82" customWidth="1"/>
    <col min="5125" max="5128" width="8.59765625" style="82" customWidth="1"/>
    <col min="5129" max="5376" width="9" style="82"/>
    <col min="5377" max="5379" width="2.59765625" style="82" customWidth="1"/>
    <col min="5380" max="5380" width="24.09765625" style="82" customWidth="1"/>
    <col min="5381" max="5384" width="8.59765625" style="82" customWidth="1"/>
    <col min="5385" max="5632" width="9" style="82"/>
    <col min="5633" max="5635" width="2.59765625" style="82" customWidth="1"/>
    <col min="5636" max="5636" width="24.09765625" style="82" customWidth="1"/>
    <col min="5637" max="5640" width="8.59765625" style="82" customWidth="1"/>
    <col min="5641" max="5888" width="9" style="82"/>
    <col min="5889" max="5891" width="2.59765625" style="82" customWidth="1"/>
    <col min="5892" max="5892" width="24.09765625" style="82" customWidth="1"/>
    <col min="5893" max="5896" width="8.59765625" style="82" customWidth="1"/>
    <col min="5897" max="6144" width="9" style="82"/>
    <col min="6145" max="6147" width="2.59765625" style="82" customWidth="1"/>
    <col min="6148" max="6148" width="24.09765625" style="82" customWidth="1"/>
    <col min="6149" max="6152" width="8.59765625" style="82" customWidth="1"/>
    <col min="6153" max="6400" width="9" style="82"/>
    <col min="6401" max="6403" width="2.59765625" style="82" customWidth="1"/>
    <col min="6404" max="6404" width="24.09765625" style="82" customWidth="1"/>
    <col min="6405" max="6408" width="8.59765625" style="82" customWidth="1"/>
    <col min="6409" max="6656" width="9" style="82"/>
    <col min="6657" max="6659" width="2.59765625" style="82" customWidth="1"/>
    <col min="6660" max="6660" width="24.09765625" style="82" customWidth="1"/>
    <col min="6661" max="6664" width="8.59765625" style="82" customWidth="1"/>
    <col min="6665" max="6912" width="9" style="82"/>
    <col min="6913" max="6915" width="2.59765625" style="82" customWidth="1"/>
    <col min="6916" max="6916" width="24.09765625" style="82" customWidth="1"/>
    <col min="6917" max="6920" width="8.59765625" style="82" customWidth="1"/>
    <col min="6921" max="7168" width="9" style="82"/>
    <col min="7169" max="7171" width="2.59765625" style="82" customWidth="1"/>
    <col min="7172" max="7172" width="24.09765625" style="82" customWidth="1"/>
    <col min="7173" max="7176" width="8.59765625" style="82" customWidth="1"/>
    <col min="7177" max="7424" width="9" style="82"/>
    <col min="7425" max="7427" width="2.59765625" style="82" customWidth="1"/>
    <col min="7428" max="7428" width="24.09765625" style="82" customWidth="1"/>
    <col min="7429" max="7432" width="8.59765625" style="82" customWidth="1"/>
    <col min="7433" max="7680" width="9" style="82"/>
    <col min="7681" max="7683" width="2.59765625" style="82" customWidth="1"/>
    <col min="7684" max="7684" width="24.09765625" style="82" customWidth="1"/>
    <col min="7685" max="7688" width="8.59765625" style="82" customWidth="1"/>
    <col min="7689" max="7936" width="9" style="82"/>
    <col min="7937" max="7939" width="2.59765625" style="82" customWidth="1"/>
    <col min="7940" max="7940" width="24.09765625" style="82" customWidth="1"/>
    <col min="7941" max="7944" width="8.59765625" style="82" customWidth="1"/>
    <col min="7945" max="8192" width="9" style="82"/>
    <col min="8193" max="8195" width="2.59765625" style="82" customWidth="1"/>
    <col min="8196" max="8196" width="24.09765625" style="82" customWidth="1"/>
    <col min="8197" max="8200" width="8.59765625" style="82" customWidth="1"/>
    <col min="8201" max="8448" width="9" style="82"/>
    <col min="8449" max="8451" width="2.59765625" style="82" customWidth="1"/>
    <col min="8452" max="8452" width="24.09765625" style="82" customWidth="1"/>
    <col min="8453" max="8456" width="8.59765625" style="82" customWidth="1"/>
    <col min="8457" max="8704" width="9" style="82"/>
    <col min="8705" max="8707" width="2.59765625" style="82" customWidth="1"/>
    <col min="8708" max="8708" width="24.09765625" style="82" customWidth="1"/>
    <col min="8709" max="8712" width="8.59765625" style="82" customWidth="1"/>
    <col min="8713" max="8960" width="9" style="82"/>
    <col min="8961" max="8963" width="2.59765625" style="82" customWidth="1"/>
    <col min="8964" max="8964" width="24.09765625" style="82" customWidth="1"/>
    <col min="8965" max="8968" width="8.59765625" style="82" customWidth="1"/>
    <col min="8969" max="9216" width="9" style="82"/>
    <col min="9217" max="9219" width="2.59765625" style="82" customWidth="1"/>
    <col min="9220" max="9220" width="24.09765625" style="82" customWidth="1"/>
    <col min="9221" max="9224" width="8.59765625" style="82" customWidth="1"/>
    <col min="9225" max="9472" width="9" style="82"/>
    <col min="9473" max="9475" width="2.59765625" style="82" customWidth="1"/>
    <col min="9476" max="9476" width="24.09765625" style="82" customWidth="1"/>
    <col min="9477" max="9480" width="8.59765625" style="82" customWidth="1"/>
    <col min="9481" max="9728" width="9" style="82"/>
    <col min="9729" max="9731" width="2.59765625" style="82" customWidth="1"/>
    <col min="9732" max="9732" width="24.09765625" style="82" customWidth="1"/>
    <col min="9733" max="9736" width="8.59765625" style="82" customWidth="1"/>
    <col min="9737" max="9984" width="9" style="82"/>
    <col min="9985" max="9987" width="2.59765625" style="82" customWidth="1"/>
    <col min="9988" max="9988" width="24.09765625" style="82" customWidth="1"/>
    <col min="9989" max="9992" width="8.59765625" style="82" customWidth="1"/>
    <col min="9993" max="10240" width="9" style="82"/>
    <col min="10241" max="10243" width="2.59765625" style="82" customWidth="1"/>
    <col min="10244" max="10244" width="24.09765625" style="82" customWidth="1"/>
    <col min="10245" max="10248" width="8.59765625" style="82" customWidth="1"/>
    <col min="10249" max="10496" width="9" style="82"/>
    <col min="10497" max="10499" width="2.59765625" style="82" customWidth="1"/>
    <col min="10500" max="10500" width="24.09765625" style="82" customWidth="1"/>
    <col min="10501" max="10504" width="8.59765625" style="82" customWidth="1"/>
    <col min="10505" max="10752" width="9" style="82"/>
    <col min="10753" max="10755" width="2.59765625" style="82" customWidth="1"/>
    <col min="10756" max="10756" width="24.09765625" style="82" customWidth="1"/>
    <col min="10757" max="10760" width="8.59765625" style="82" customWidth="1"/>
    <col min="10761" max="11008" width="9" style="82"/>
    <col min="11009" max="11011" width="2.59765625" style="82" customWidth="1"/>
    <col min="11012" max="11012" width="24.09765625" style="82" customWidth="1"/>
    <col min="11013" max="11016" width="8.59765625" style="82" customWidth="1"/>
    <col min="11017" max="11264" width="9" style="82"/>
    <col min="11265" max="11267" width="2.59765625" style="82" customWidth="1"/>
    <col min="11268" max="11268" width="24.09765625" style="82" customWidth="1"/>
    <col min="11269" max="11272" width="8.59765625" style="82" customWidth="1"/>
    <col min="11273" max="11520" width="9" style="82"/>
    <col min="11521" max="11523" width="2.59765625" style="82" customWidth="1"/>
    <col min="11524" max="11524" width="24.09765625" style="82" customWidth="1"/>
    <col min="11525" max="11528" width="8.59765625" style="82" customWidth="1"/>
    <col min="11529" max="11776" width="9" style="82"/>
    <col min="11777" max="11779" width="2.59765625" style="82" customWidth="1"/>
    <col min="11780" max="11780" width="24.09765625" style="82" customWidth="1"/>
    <col min="11781" max="11784" width="8.59765625" style="82" customWidth="1"/>
    <col min="11785" max="12032" width="9" style="82"/>
    <col min="12033" max="12035" width="2.59765625" style="82" customWidth="1"/>
    <col min="12036" max="12036" width="24.09765625" style="82" customWidth="1"/>
    <col min="12037" max="12040" width="8.59765625" style="82" customWidth="1"/>
    <col min="12041" max="12288" width="9" style="82"/>
    <col min="12289" max="12291" width="2.59765625" style="82" customWidth="1"/>
    <col min="12292" max="12292" width="24.09765625" style="82" customWidth="1"/>
    <col min="12293" max="12296" width="8.59765625" style="82" customWidth="1"/>
    <col min="12297" max="12544" width="9" style="82"/>
    <col min="12545" max="12547" width="2.59765625" style="82" customWidth="1"/>
    <col min="12548" max="12548" width="24.09765625" style="82" customWidth="1"/>
    <col min="12549" max="12552" width="8.59765625" style="82" customWidth="1"/>
    <col min="12553" max="12800" width="9" style="82"/>
    <col min="12801" max="12803" width="2.59765625" style="82" customWidth="1"/>
    <col min="12804" max="12804" width="24.09765625" style="82" customWidth="1"/>
    <col min="12805" max="12808" width="8.59765625" style="82" customWidth="1"/>
    <col min="12809" max="13056" width="9" style="82"/>
    <col min="13057" max="13059" width="2.59765625" style="82" customWidth="1"/>
    <col min="13060" max="13060" width="24.09765625" style="82" customWidth="1"/>
    <col min="13061" max="13064" width="8.59765625" style="82" customWidth="1"/>
    <col min="13065" max="13312" width="9" style="82"/>
    <col min="13313" max="13315" width="2.59765625" style="82" customWidth="1"/>
    <col min="13316" max="13316" width="24.09765625" style="82" customWidth="1"/>
    <col min="13317" max="13320" width="8.59765625" style="82" customWidth="1"/>
    <col min="13321" max="13568" width="9" style="82"/>
    <col min="13569" max="13571" width="2.59765625" style="82" customWidth="1"/>
    <col min="13572" max="13572" width="24.09765625" style="82" customWidth="1"/>
    <col min="13573" max="13576" width="8.59765625" style="82" customWidth="1"/>
    <col min="13577" max="13824" width="9" style="82"/>
    <col min="13825" max="13827" width="2.59765625" style="82" customWidth="1"/>
    <col min="13828" max="13828" width="24.09765625" style="82" customWidth="1"/>
    <col min="13829" max="13832" width="8.59765625" style="82" customWidth="1"/>
    <col min="13833" max="14080" width="9" style="82"/>
    <col min="14081" max="14083" width="2.59765625" style="82" customWidth="1"/>
    <col min="14084" max="14084" width="24.09765625" style="82" customWidth="1"/>
    <col min="14085" max="14088" width="8.59765625" style="82" customWidth="1"/>
    <col min="14089" max="14336" width="9" style="82"/>
    <col min="14337" max="14339" width="2.59765625" style="82" customWidth="1"/>
    <col min="14340" max="14340" width="24.09765625" style="82" customWidth="1"/>
    <col min="14341" max="14344" width="8.59765625" style="82" customWidth="1"/>
    <col min="14345" max="14592" width="9" style="82"/>
    <col min="14593" max="14595" width="2.59765625" style="82" customWidth="1"/>
    <col min="14596" max="14596" width="24.09765625" style="82" customWidth="1"/>
    <col min="14597" max="14600" width="8.59765625" style="82" customWidth="1"/>
    <col min="14601" max="14848" width="9" style="82"/>
    <col min="14849" max="14851" width="2.59765625" style="82" customWidth="1"/>
    <col min="14852" max="14852" width="24.09765625" style="82" customWidth="1"/>
    <col min="14853" max="14856" width="8.59765625" style="82" customWidth="1"/>
    <col min="14857" max="15104" width="9" style="82"/>
    <col min="15105" max="15107" width="2.59765625" style="82" customWidth="1"/>
    <col min="15108" max="15108" width="24.09765625" style="82" customWidth="1"/>
    <col min="15109" max="15112" width="8.59765625" style="82" customWidth="1"/>
    <col min="15113" max="15360" width="9" style="82"/>
    <col min="15361" max="15363" width="2.59765625" style="82" customWidth="1"/>
    <col min="15364" max="15364" width="24.09765625" style="82" customWidth="1"/>
    <col min="15365" max="15368" width="8.59765625" style="82" customWidth="1"/>
    <col min="15369" max="15616" width="9" style="82"/>
    <col min="15617" max="15619" width="2.59765625" style="82" customWidth="1"/>
    <col min="15620" max="15620" width="24.09765625" style="82" customWidth="1"/>
    <col min="15621" max="15624" width="8.59765625" style="82" customWidth="1"/>
    <col min="15625" max="15872" width="9" style="82"/>
    <col min="15873" max="15875" width="2.59765625" style="82" customWidth="1"/>
    <col min="15876" max="15876" width="24.09765625" style="82" customWidth="1"/>
    <col min="15877" max="15880" width="8.59765625" style="82" customWidth="1"/>
    <col min="15881" max="16128" width="9" style="82"/>
    <col min="16129" max="16131" width="2.59765625" style="82" customWidth="1"/>
    <col min="16132" max="16132" width="24.09765625" style="82" customWidth="1"/>
    <col min="16133" max="16136" width="8.59765625" style="82" customWidth="1"/>
    <col min="16137" max="16384" width="9" style="82"/>
  </cols>
  <sheetData>
    <row r="1" spans="1:16" ht="30" customHeight="1">
      <c r="A1" s="188" t="s">
        <v>502</v>
      </c>
      <c r="B1" s="420"/>
      <c r="C1" s="420"/>
      <c r="D1" s="420"/>
      <c r="E1" s="420"/>
      <c r="F1" s="420"/>
      <c r="G1" s="420"/>
      <c r="H1" s="420"/>
    </row>
    <row r="2" spans="1:16" ht="16.8" thickBot="1">
      <c r="A2" s="11"/>
      <c r="B2" s="421"/>
      <c r="C2" s="421"/>
      <c r="D2" s="421"/>
      <c r="E2" s="421"/>
      <c r="F2" s="421"/>
      <c r="G2" s="421"/>
      <c r="H2" s="223"/>
      <c r="L2" s="223"/>
      <c r="P2" s="223" t="s">
        <v>503</v>
      </c>
    </row>
    <row r="3" spans="1:16" s="11" customFormat="1" ht="19.5" customHeight="1">
      <c r="A3" s="2308" t="s">
        <v>504</v>
      </c>
      <c r="B3" s="2308"/>
      <c r="C3" s="2308"/>
      <c r="D3" s="2309"/>
      <c r="E3" s="2311" t="s">
        <v>316</v>
      </c>
      <c r="F3" s="2312"/>
      <c r="G3" s="2312"/>
      <c r="H3" s="2312"/>
      <c r="I3" s="2311" t="s">
        <v>319</v>
      </c>
      <c r="J3" s="2312"/>
      <c r="K3" s="2312"/>
      <c r="L3" s="2312"/>
      <c r="M3" s="2311" t="s">
        <v>43</v>
      </c>
      <c r="N3" s="2312"/>
      <c r="O3" s="2312"/>
      <c r="P3" s="2312"/>
    </row>
    <row r="4" spans="1:16" s="11" customFormat="1" ht="39" customHeight="1">
      <c r="A4" s="2271"/>
      <c r="B4" s="2271"/>
      <c r="C4" s="2271"/>
      <c r="D4" s="2310"/>
      <c r="E4" s="422" t="s">
        <v>184</v>
      </c>
      <c r="F4" s="422" t="s">
        <v>461</v>
      </c>
      <c r="G4" s="107" t="s">
        <v>505</v>
      </c>
      <c r="H4" s="423" t="s">
        <v>506</v>
      </c>
      <c r="I4" s="422" t="s">
        <v>184</v>
      </c>
      <c r="J4" s="422" t="s">
        <v>461</v>
      </c>
      <c r="K4" s="107" t="s">
        <v>505</v>
      </c>
      <c r="L4" s="423" t="s">
        <v>506</v>
      </c>
      <c r="M4" s="422" t="s">
        <v>184</v>
      </c>
      <c r="N4" s="422" t="s">
        <v>461</v>
      </c>
      <c r="O4" s="107" t="s">
        <v>505</v>
      </c>
      <c r="P4" s="423" t="s">
        <v>506</v>
      </c>
    </row>
    <row r="5" spans="1:16" s="11" customFormat="1" ht="19.5" customHeight="1">
      <c r="A5" s="2283" t="s">
        <v>507</v>
      </c>
      <c r="B5" s="2283"/>
      <c r="C5" s="2283"/>
      <c r="D5" s="2283"/>
      <c r="E5" s="424">
        <v>6011</v>
      </c>
      <c r="F5" s="424">
        <v>16797</v>
      </c>
      <c r="G5" s="424">
        <v>8780</v>
      </c>
      <c r="H5" s="425">
        <v>2.7943769755000001</v>
      </c>
      <c r="I5" s="424">
        <v>6337</v>
      </c>
      <c r="J5" s="424">
        <v>16605</v>
      </c>
      <c r="K5" s="424">
        <v>9383</v>
      </c>
      <c r="L5" s="425">
        <v>2.6203250749999998</v>
      </c>
      <c r="M5" s="424">
        <v>6319</v>
      </c>
      <c r="N5" s="424">
        <v>15388</v>
      </c>
      <c r="O5" s="424">
        <v>9469</v>
      </c>
      <c r="P5" s="425">
        <f>+IFERROR(N5/M5,"")</f>
        <v>2.4351954423168225</v>
      </c>
    </row>
    <row r="6" spans="1:16" s="11" customFormat="1" ht="19.5" customHeight="1">
      <c r="A6" s="389"/>
      <c r="B6" s="2278" t="s">
        <v>508</v>
      </c>
      <c r="C6" s="2278"/>
      <c r="D6" s="2278"/>
      <c r="E6" s="426">
        <v>5988</v>
      </c>
      <c r="F6" s="426">
        <v>16764</v>
      </c>
      <c r="G6" s="426">
        <v>8755</v>
      </c>
      <c r="H6" s="427">
        <v>2.7995991984000002</v>
      </c>
      <c r="I6" s="426">
        <v>6313</v>
      </c>
      <c r="J6" s="426">
        <v>16568</v>
      </c>
      <c r="K6" s="426">
        <v>9350</v>
      </c>
      <c r="L6" s="427">
        <v>2.6244257880999999</v>
      </c>
      <c r="M6" s="426">
        <v>6311</v>
      </c>
      <c r="N6" s="426">
        <v>15375</v>
      </c>
      <c r="O6" s="426">
        <v>9458</v>
      </c>
      <c r="P6" s="427">
        <f>+IFERROR(N6/M6,"")</f>
        <v>2.4362224687054348</v>
      </c>
    </row>
    <row r="7" spans="1:16" s="11" customFormat="1" ht="19.5" customHeight="1">
      <c r="A7" s="389"/>
      <c r="B7" s="428"/>
      <c r="C7" s="2278" t="s">
        <v>509</v>
      </c>
      <c r="D7" s="2278"/>
      <c r="E7" s="426">
        <v>5973</v>
      </c>
      <c r="F7" s="426">
        <v>16729</v>
      </c>
      <c r="G7" s="426">
        <v>8736</v>
      </c>
      <c r="H7" s="427">
        <v>2.7995991984000002</v>
      </c>
      <c r="I7" s="426">
        <v>6292</v>
      </c>
      <c r="J7" s="426">
        <v>16534</v>
      </c>
      <c r="K7" s="426">
        <v>9328</v>
      </c>
      <c r="L7" s="427">
        <v>2.6277813096</v>
      </c>
      <c r="M7" s="426">
        <v>6283</v>
      </c>
      <c r="N7" s="426">
        <v>15314</v>
      </c>
      <c r="O7" s="426">
        <v>9425</v>
      </c>
      <c r="P7" s="427">
        <f t="shared" ref="P7:P13" si="0">+IFERROR(N7/M7,"")</f>
        <v>2.4373706827948434</v>
      </c>
    </row>
    <row r="8" spans="1:16" s="11" customFormat="1" ht="19.5" customHeight="1">
      <c r="A8" s="389"/>
      <c r="B8" s="428"/>
      <c r="C8" s="428"/>
      <c r="D8" s="389" t="s">
        <v>510</v>
      </c>
      <c r="E8" s="426">
        <v>5528</v>
      </c>
      <c r="F8" s="426">
        <v>15968</v>
      </c>
      <c r="G8" s="426">
        <v>8182</v>
      </c>
      <c r="H8" s="427">
        <v>2.8885672938</v>
      </c>
      <c r="I8" s="426">
        <v>5795</v>
      </c>
      <c r="J8" s="426">
        <v>15698</v>
      </c>
      <c r="K8" s="426">
        <v>8720</v>
      </c>
      <c r="L8" s="427">
        <v>2.7088869715000001</v>
      </c>
      <c r="M8" s="426">
        <v>5773</v>
      </c>
      <c r="N8" s="426">
        <v>14515</v>
      </c>
      <c r="O8" s="426">
        <v>8812</v>
      </c>
      <c r="P8" s="427">
        <f t="shared" si="0"/>
        <v>2.5142906634332238</v>
      </c>
    </row>
    <row r="9" spans="1:16" s="11" customFormat="1" ht="19.5" customHeight="1">
      <c r="A9" s="389"/>
      <c r="B9" s="428"/>
      <c r="C9" s="428"/>
      <c r="D9" s="389" t="s">
        <v>511</v>
      </c>
      <c r="E9" s="426">
        <v>266</v>
      </c>
      <c r="F9" s="426">
        <v>435</v>
      </c>
      <c r="G9" s="426">
        <v>328</v>
      </c>
      <c r="H9" s="427">
        <v>1.6353383458999999</v>
      </c>
      <c r="I9" s="426">
        <v>313</v>
      </c>
      <c r="J9" s="426">
        <v>494</v>
      </c>
      <c r="K9" s="426">
        <v>376</v>
      </c>
      <c r="L9" s="427">
        <v>1.5782747604</v>
      </c>
      <c r="M9" s="426">
        <v>254</v>
      </c>
      <c r="N9" s="426">
        <v>402</v>
      </c>
      <c r="O9" s="426">
        <v>308</v>
      </c>
      <c r="P9" s="427">
        <f t="shared" si="0"/>
        <v>1.5826771653543308</v>
      </c>
    </row>
    <row r="10" spans="1:16" s="11" customFormat="1" ht="19.5" customHeight="1">
      <c r="A10" s="389"/>
      <c r="B10" s="428"/>
      <c r="C10" s="428"/>
      <c r="D10" s="389" t="s">
        <v>512</v>
      </c>
      <c r="E10" s="426">
        <v>164</v>
      </c>
      <c r="F10" s="426">
        <v>287</v>
      </c>
      <c r="G10" s="426">
        <v>206</v>
      </c>
      <c r="H10" s="427">
        <v>1.75</v>
      </c>
      <c r="I10" s="426">
        <v>171</v>
      </c>
      <c r="J10" s="426">
        <v>301</v>
      </c>
      <c r="K10" s="426">
        <v>214</v>
      </c>
      <c r="L10" s="427">
        <v>1.7602339181</v>
      </c>
      <c r="M10" s="426">
        <v>247</v>
      </c>
      <c r="N10" s="426">
        <v>375</v>
      </c>
      <c r="O10" s="426">
        <v>291</v>
      </c>
      <c r="P10" s="427">
        <f t="shared" si="0"/>
        <v>1.5182186234817814</v>
      </c>
    </row>
    <row r="11" spans="1:16" s="11" customFormat="1" ht="19.5" customHeight="1">
      <c r="A11" s="389"/>
      <c r="B11" s="428"/>
      <c r="C11" s="428"/>
      <c r="D11" s="389" t="s">
        <v>513</v>
      </c>
      <c r="E11" s="426">
        <v>15</v>
      </c>
      <c r="F11" s="426">
        <v>39</v>
      </c>
      <c r="G11" s="426">
        <v>20</v>
      </c>
      <c r="H11" s="427">
        <v>2.6</v>
      </c>
      <c r="I11" s="426">
        <v>13</v>
      </c>
      <c r="J11" s="426">
        <v>41</v>
      </c>
      <c r="K11" s="426">
        <v>18</v>
      </c>
      <c r="L11" s="427">
        <v>3.1538461538</v>
      </c>
      <c r="M11" s="426">
        <v>9</v>
      </c>
      <c r="N11" s="426">
        <v>22</v>
      </c>
      <c r="O11" s="426">
        <v>14</v>
      </c>
      <c r="P11" s="427">
        <f t="shared" si="0"/>
        <v>2.4444444444444446</v>
      </c>
    </row>
    <row r="12" spans="1:16" s="11" customFormat="1" ht="19.5" customHeight="1">
      <c r="A12" s="389"/>
      <c r="B12" s="428"/>
      <c r="C12" s="2278" t="s">
        <v>514</v>
      </c>
      <c r="D12" s="2278"/>
      <c r="E12" s="426">
        <v>15</v>
      </c>
      <c r="F12" s="426">
        <v>35</v>
      </c>
      <c r="G12" s="426">
        <v>19</v>
      </c>
      <c r="H12" s="427">
        <v>2.3333333333000001</v>
      </c>
      <c r="I12" s="426">
        <v>21</v>
      </c>
      <c r="J12" s="426">
        <v>34</v>
      </c>
      <c r="K12" s="426">
        <v>22</v>
      </c>
      <c r="L12" s="427">
        <v>1.619047619</v>
      </c>
      <c r="M12" s="426">
        <v>28</v>
      </c>
      <c r="N12" s="426">
        <v>61</v>
      </c>
      <c r="O12" s="426">
        <v>33</v>
      </c>
      <c r="P12" s="427">
        <f t="shared" si="0"/>
        <v>2.1785714285714284</v>
      </c>
    </row>
    <row r="13" spans="1:16" s="11" customFormat="1" ht="19.5" customHeight="1" thickBot="1">
      <c r="A13" s="2280" t="s">
        <v>487</v>
      </c>
      <c r="B13" s="2280"/>
      <c r="C13" s="2280"/>
      <c r="D13" s="2280"/>
      <c r="E13" s="429">
        <v>23</v>
      </c>
      <c r="F13" s="429">
        <v>33</v>
      </c>
      <c r="G13" s="429">
        <v>25</v>
      </c>
      <c r="H13" s="430">
        <v>1.4347826087</v>
      </c>
      <c r="I13" s="429">
        <v>24</v>
      </c>
      <c r="J13" s="429">
        <v>37</v>
      </c>
      <c r="K13" s="429">
        <v>33</v>
      </c>
      <c r="L13" s="430">
        <v>1.5416666667000001</v>
      </c>
      <c r="M13" s="429">
        <v>8</v>
      </c>
      <c r="N13" s="429">
        <v>13</v>
      </c>
      <c r="O13" s="429">
        <v>11</v>
      </c>
      <c r="P13" s="430">
        <f t="shared" si="0"/>
        <v>1.625</v>
      </c>
    </row>
    <row r="14" spans="1:16" ht="19.5" customHeight="1">
      <c r="A14" s="29" t="s">
        <v>515</v>
      </c>
    </row>
    <row r="15" spans="1:16" s="11" customFormat="1" ht="15" customHeight="1"/>
    <row r="16" spans="1:16" s="11" customFormat="1" ht="15" customHeight="1"/>
    <row r="17" s="11" customFormat="1" ht="15" customHeight="1"/>
    <row r="18" s="11" customFormat="1" ht="15" customHeight="1"/>
    <row r="19" s="11" customFormat="1" ht="15.75" customHeight="1"/>
  </sheetData>
  <mergeCells count="9">
    <mergeCell ref="A13:D13"/>
    <mergeCell ref="A3:D4"/>
    <mergeCell ref="E3:H3"/>
    <mergeCell ref="I3:L3"/>
    <mergeCell ref="M3:P3"/>
    <mergeCell ref="A5:D5"/>
    <mergeCell ref="B6:D6"/>
    <mergeCell ref="C7:D7"/>
    <mergeCell ref="C12:D12"/>
  </mergeCells>
  <phoneticPr fontId="4"/>
  <printOptions horizontalCentered="1"/>
  <pageMargins left="0.70866141732283472" right="0.70866141732283472" top="0.74803149606299213" bottom="0.74803149606299213" header="0.31496062992125984" footer="0.31496062992125984"/>
  <pageSetup paperSize="9" scale="9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8726A-C925-4057-ACEC-32031F769C75}">
  <sheetPr codeName="Sheet28">
    <pageSetUpPr fitToPage="1"/>
  </sheetPr>
  <dimension ref="A1:K33"/>
  <sheetViews>
    <sheetView workbookViewId="0">
      <selection activeCell="B1" sqref="B1"/>
    </sheetView>
  </sheetViews>
  <sheetFormatPr defaultRowHeight="13.2"/>
  <cols>
    <col min="1" max="1" width="9.3984375" style="82" customWidth="1"/>
    <col min="2" max="2" width="9.69921875" style="82" bestFit="1" customWidth="1"/>
    <col min="3" max="6" width="6.59765625" style="82" customWidth="1"/>
    <col min="7" max="8" width="14.09765625" style="82" customWidth="1"/>
    <col min="9" max="10" width="6.3984375" style="82" customWidth="1"/>
    <col min="11" max="256" width="9" style="82"/>
    <col min="257" max="257" width="9.3984375" style="82" customWidth="1"/>
    <col min="258" max="258" width="9.69921875" style="82" bestFit="1" customWidth="1"/>
    <col min="259" max="262" width="6.59765625" style="82" customWidth="1"/>
    <col min="263" max="264" width="14.09765625" style="82" customWidth="1"/>
    <col min="265" max="266" width="6.3984375" style="82" customWidth="1"/>
    <col min="267" max="512" width="9" style="82"/>
    <col min="513" max="513" width="9.3984375" style="82" customWidth="1"/>
    <col min="514" max="514" width="9.69921875" style="82" bestFit="1" customWidth="1"/>
    <col min="515" max="518" width="6.59765625" style="82" customWidth="1"/>
    <col min="519" max="520" width="14.09765625" style="82" customWidth="1"/>
    <col min="521" max="522" width="6.3984375" style="82" customWidth="1"/>
    <col min="523" max="768" width="9" style="82"/>
    <col min="769" max="769" width="9.3984375" style="82" customWidth="1"/>
    <col min="770" max="770" width="9.69921875" style="82" bestFit="1" customWidth="1"/>
    <col min="771" max="774" width="6.59765625" style="82" customWidth="1"/>
    <col min="775" max="776" width="14.09765625" style="82" customWidth="1"/>
    <col min="777" max="778" width="6.3984375" style="82" customWidth="1"/>
    <col min="779" max="1024" width="9" style="82"/>
    <col min="1025" max="1025" width="9.3984375" style="82" customWidth="1"/>
    <col min="1026" max="1026" width="9.69921875" style="82" bestFit="1" customWidth="1"/>
    <col min="1027" max="1030" width="6.59765625" style="82" customWidth="1"/>
    <col min="1031" max="1032" width="14.09765625" style="82" customWidth="1"/>
    <col min="1033" max="1034" width="6.3984375" style="82" customWidth="1"/>
    <col min="1035" max="1280" width="9" style="82"/>
    <col min="1281" max="1281" width="9.3984375" style="82" customWidth="1"/>
    <col min="1282" max="1282" width="9.69921875" style="82" bestFit="1" customWidth="1"/>
    <col min="1283" max="1286" width="6.59765625" style="82" customWidth="1"/>
    <col min="1287" max="1288" width="14.09765625" style="82" customWidth="1"/>
    <col min="1289" max="1290" width="6.3984375" style="82" customWidth="1"/>
    <col min="1291" max="1536" width="9" style="82"/>
    <col min="1537" max="1537" width="9.3984375" style="82" customWidth="1"/>
    <col min="1538" max="1538" width="9.69921875" style="82" bestFit="1" customWidth="1"/>
    <col min="1539" max="1542" width="6.59765625" style="82" customWidth="1"/>
    <col min="1543" max="1544" width="14.09765625" style="82" customWidth="1"/>
    <col min="1545" max="1546" width="6.3984375" style="82" customWidth="1"/>
    <col min="1547" max="1792" width="9" style="82"/>
    <col min="1793" max="1793" width="9.3984375" style="82" customWidth="1"/>
    <col min="1794" max="1794" width="9.69921875" style="82" bestFit="1" customWidth="1"/>
    <col min="1795" max="1798" width="6.59765625" style="82" customWidth="1"/>
    <col min="1799" max="1800" width="14.09765625" style="82" customWidth="1"/>
    <col min="1801" max="1802" width="6.3984375" style="82" customWidth="1"/>
    <col min="1803" max="2048" width="9" style="82"/>
    <col min="2049" max="2049" width="9.3984375" style="82" customWidth="1"/>
    <col min="2050" max="2050" width="9.69921875" style="82" bestFit="1" customWidth="1"/>
    <col min="2051" max="2054" width="6.59765625" style="82" customWidth="1"/>
    <col min="2055" max="2056" width="14.09765625" style="82" customWidth="1"/>
    <col min="2057" max="2058" width="6.3984375" style="82" customWidth="1"/>
    <col min="2059" max="2304" width="9" style="82"/>
    <col min="2305" max="2305" width="9.3984375" style="82" customWidth="1"/>
    <col min="2306" max="2306" width="9.69921875" style="82" bestFit="1" customWidth="1"/>
    <col min="2307" max="2310" width="6.59765625" style="82" customWidth="1"/>
    <col min="2311" max="2312" width="14.09765625" style="82" customWidth="1"/>
    <col min="2313" max="2314" width="6.3984375" style="82" customWidth="1"/>
    <col min="2315" max="2560" width="9" style="82"/>
    <col min="2561" max="2561" width="9.3984375" style="82" customWidth="1"/>
    <col min="2562" max="2562" width="9.69921875" style="82" bestFit="1" customWidth="1"/>
    <col min="2563" max="2566" width="6.59765625" style="82" customWidth="1"/>
    <col min="2567" max="2568" width="14.09765625" style="82" customWidth="1"/>
    <col min="2569" max="2570" width="6.3984375" style="82" customWidth="1"/>
    <col min="2571" max="2816" width="9" style="82"/>
    <col min="2817" max="2817" width="9.3984375" style="82" customWidth="1"/>
    <col min="2818" max="2818" width="9.69921875" style="82" bestFit="1" customWidth="1"/>
    <col min="2819" max="2822" width="6.59765625" style="82" customWidth="1"/>
    <col min="2823" max="2824" width="14.09765625" style="82" customWidth="1"/>
    <col min="2825" max="2826" width="6.3984375" style="82" customWidth="1"/>
    <col min="2827" max="3072" width="9" style="82"/>
    <col min="3073" max="3073" width="9.3984375" style="82" customWidth="1"/>
    <col min="3074" max="3074" width="9.69921875" style="82" bestFit="1" customWidth="1"/>
    <col min="3075" max="3078" width="6.59765625" style="82" customWidth="1"/>
    <col min="3079" max="3080" width="14.09765625" style="82" customWidth="1"/>
    <col min="3081" max="3082" width="6.3984375" style="82" customWidth="1"/>
    <col min="3083" max="3328" width="9" style="82"/>
    <col min="3329" max="3329" width="9.3984375" style="82" customWidth="1"/>
    <col min="3330" max="3330" width="9.69921875" style="82" bestFit="1" customWidth="1"/>
    <col min="3331" max="3334" width="6.59765625" style="82" customWidth="1"/>
    <col min="3335" max="3336" width="14.09765625" style="82" customWidth="1"/>
    <col min="3337" max="3338" width="6.3984375" style="82" customWidth="1"/>
    <col min="3339" max="3584" width="9" style="82"/>
    <col min="3585" max="3585" width="9.3984375" style="82" customWidth="1"/>
    <col min="3586" max="3586" width="9.69921875" style="82" bestFit="1" customWidth="1"/>
    <col min="3587" max="3590" width="6.59765625" style="82" customWidth="1"/>
    <col min="3591" max="3592" width="14.09765625" style="82" customWidth="1"/>
    <col min="3593" max="3594" width="6.3984375" style="82" customWidth="1"/>
    <col min="3595" max="3840" width="9" style="82"/>
    <col min="3841" max="3841" width="9.3984375" style="82" customWidth="1"/>
    <col min="3842" max="3842" width="9.69921875" style="82" bestFit="1" customWidth="1"/>
    <col min="3843" max="3846" width="6.59765625" style="82" customWidth="1"/>
    <col min="3847" max="3848" width="14.09765625" style="82" customWidth="1"/>
    <col min="3849" max="3850" width="6.3984375" style="82" customWidth="1"/>
    <col min="3851" max="4096" width="9" style="82"/>
    <col min="4097" max="4097" width="9.3984375" style="82" customWidth="1"/>
    <col min="4098" max="4098" width="9.69921875" style="82" bestFit="1" customWidth="1"/>
    <col min="4099" max="4102" width="6.59765625" style="82" customWidth="1"/>
    <col min="4103" max="4104" width="14.09765625" style="82" customWidth="1"/>
    <col min="4105" max="4106" width="6.3984375" style="82" customWidth="1"/>
    <col min="4107" max="4352" width="9" style="82"/>
    <col min="4353" max="4353" width="9.3984375" style="82" customWidth="1"/>
    <col min="4354" max="4354" width="9.69921875" style="82" bestFit="1" customWidth="1"/>
    <col min="4355" max="4358" width="6.59765625" style="82" customWidth="1"/>
    <col min="4359" max="4360" width="14.09765625" style="82" customWidth="1"/>
    <col min="4361" max="4362" width="6.3984375" style="82" customWidth="1"/>
    <col min="4363" max="4608" width="9" style="82"/>
    <col min="4609" max="4609" width="9.3984375" style="82" customWidth="1"/>
    <col min="4610" max="4610" width="9.69921875" style="82" bestFit="1" customWidth="1"/>
    <col min="4611" max="4614" width="6.59765625" style="82" customWidth="1"/>
    <col min="4615" max="4616" width="14.09765625" style="82" customWidth="1"/>
    <col min="4617" max="4618" width="6.3984375" style="82" customWidth="1"/>
    <col min="4619" max="4864" width="9" style="82"/>
    <col min="4865" max="4865" width="9.3984375" style="82" customWidth="1"/>
    <col min="4866" max="4866" width="9.69921875" style="82" bestFit="1" customWidth="1"/>
    <col min="4867" max="4870" width="6.59765625" style="82" customWidth="1"/>
    <col min="4871" max="4872" width="14.09765625" style="82" customWidth="1"/>
    <col min="4873" max="4874" width="6.3984375" style="82" customWidth="1"/>
    <col min="4875" max="5120" width="9" style="82"/>
    <col min="5121" max="5121" width="9.3984375" style="82" customWidth="1"/>
    <col min="5122" max="5122" width="9.69921875" style="82" bestFit="1" customWidth="1"/>
    <col min="5123" max="5126" width="6.59765625" style="82" customWidth="1"/>
    <col min="5127" max="5128" width="14.09765625" style="82" customWidth="1"/>
    <col min="5129" max="5130" width="6.3984375" style="82" customWidth="1"/>
    <col min="5131" max="5376" width="9" style="82"/>
    <col min="5377" max="5377" width="9.3984375" style="82" customWidth="1"/>
    <col min="5378" max="5378" width="9.69921875" style="82" bestFit="1" customWidth="1"/>
    <col min="5379" max="5382" width="6.59765625" style="82" customWidth="1"/>
    <col min="5383" max="5384" width="14.09765625" style="82" customWidth="1"/>
    <col min="5385" max="5386" width="6.3984375" style="82" customWidth="1"/>
    <col min="5387" max="5632" width="9" style="82"/>
    <col min="5633" max="5633" width="9.3984375" style="82" customWidth="1"/>
    <col min="5634" max="5634" width="9.69921875" style="82" bestFit="1" customWidth="1"/>
    <col min="5635" max="5638" width="6.59765625" style="82" customWidth="1"/>
    <col min="5639" max="5640" width="14.09765625" style="82" customWidth="1"/>
    <col min="5641" max="5642" width="6.3984375" style="82" customWidth="1"/>
    <col min="5643" max="5888" width="9" style="82"/>
    <col min="5889" max="5889" width="9.3984375" style="82" customWidth="1"/>
    <col min="5890" max="5890" width="9.69921875" style="82" bestFit="1" customWidth="1"/>
    <col min="5891" max="5894" width="6.59765625" style="82" customWidth="1"/>
    <col min="5895" max="5896" width="14.09765625" style="82" customWidth="1"/>
    <col min="5897" max="5898" width="6.3984375" style="82" customWidth="1"/>
    <col min="5899" max="6144" width="9" style="82"/>
    <col min="6145" max="6145" width="9.3984375" style="82" customWidth="1"/>
    <col min="6146" max="6146" width="9.69921875" style="82" bestFit="1" customWidth="1"/>
    <col min="6147" max="6150" width="6.59765625" style="82" customWidth="1"/>
    <col min="6151" max="6152" width="14.09765625" style="82" customWidth="1"/>
    <col min="6153" max="6154" width="6.3984375" style="82" customWidth="1"/>
    <col min="6155" max="6400" width="9" style="82"/>
    <col min="6401" max="6401" width="9.3984375" style="82" customWidth="1"/>
    <col min="6402" max="6402" width="9.69921875" style="82" bestFit="1" customWidth="1"/>
    <col min="6403" max="6406" width="6.59765625" style="82" customWidth="1"/>
    <col min="6407" max="6408" width="14.09765625" style="82" customWidth="1"/>
    <col min="6409" max="6410" width="6.3984375" style="82" customWidth="1"/>
    <col min="6411" max="6656" width="9" style="82"/>
    <col min="6657" max="6657" width="9.3984375" style="82" customWidth="1"/>
    <col min="6658" max="6658" width="9.69921875" style="82" bestFit="1" customWidth="1"/>
    <col min="6659" max="6662" width="6.59765625" style="82" customWidth="1"/>
    <col min="6663" max="6664" width="14.09765625" style="82" customWidth="1"/>
    <col min="6665" max="6666" width="6.3984375" style="82" customWidth="1"/>
    <col min="6667" max="6912" width="9" style="82"/>
    <col min="6913" max="6913" width="9.3984375" style="82" customWidth="1"/>
    <col min="6914" max="6914" width="9.69921875" style="82" bestFit="1" customWidth="1"/>
    <col min="6915" max="6918" width="6.59765625" style="82" customWidth="1"/>
    <col min="6919" max="6920" width="14.09765625" style="82" customWidth="1"/>
    <col min="6921" max="6922" width="6.3984375" style="82" customWidth="1"/>
    <col min="6923" max="7168" width="9" style="82"/>
    <col min="7169" max="7169" width="9.3984375" style="82" customWidth="1"/>
    <col min="7170" max="7170" width="9.69921875" style="82" bestFit="1" customWidth="1"/>
    <col min="7171" max="7174" width="6.59765625" style="82" customWidth="1"/>
    <col min="7175" max="7176" width="14.09765625" style="82" customWidth="1"/>
    <col min="7177" max="7178" width="6.3984375" style="82" customWidth="1"/>
    <col min="7179" max="7424" width="9" style="82"/>
    <col min="7425" max="7425" width="9.3984375" style="82" customWidth="1"/>
    <col min="7426" max="7426" width="9.69921875" style="82" bestFit="1" customWidth="1"/>
    <col min="7427" max="7430" width="6.59765625" style="82" customWidth="1"/>
    <col min="7431" max="7432" width="14.09765625" style="82" customWidth="1"/>
    <col min="7433" max="7434" width="6.3984375" style="82" customWidth="1"/>
    <col min="7435" max="7680" width="9" style="82"/>
    <col min="7681" max="7681" width="9.3984375" style="82" customWidth="1"/>
    <col min="7682" max="7682" width="9.69921875" style="82" bestFit="1" customWidth="1"/>
    <col min="7683" max="7686" width="6.59765625" style="82" customWidth="1"/>
    <col min="7687" max="7688" width="14.09765625" style="82" customWidth="1"/>
    <col min="7689" max="7690" width="6.3984375" style="82" customWidth="1"/>
    <col min="7691" max="7936" width="9" style="82"/>
    <col min="7937" max="7937" width="9.3984375" style="82" customWidth="1"/>
    <col min="7938" max="7938" width="9.69921875" style="82" bestFit="1" customWidth="1"/>
    <col min="7939" max="7942" width="6.59765625" style="82" customWidth="1"/>
    <col min="7943" max="7944" width="14.09765625" style="82" customWidth="1"/>
    <col min="7945" max="7946" width="6.3984375" style="82" customWidth="1"/>
    <col min="7947" max="8192" width="9" style="82"/>
    <col min="8193" max="8193" width="9.3984375" style="82" customWidth="1"/>
    <col min="8194" max="8194" width="9.69921875" style="82" bestFit="1" customWidth="1"/>
    <col min="8195" max="8198" width="6.59765625" style="82" customWidth="1"/>
    <col min="8199" max="8200" width="14.09765625" style="82" customWidth="1"/>
    <col min="8201" max="8202" width="6.3984375" style="82" customWidth="1"/>
    <col min="8203" max="8448" width="9" style="82"/>
    <col min="8449" max="8449" width="9.3984375" style="82" customWidth="1"/>
    <col min="8450" max="8450" width="9.69921875" style="82" bestFit="1" customWidth="1"/>
    <col min="8451" max="8454" width="6.59765625" style="82" customWidth="1"/>
    <col min="8455" max="8456" width="14.09765625" style="82" customWidth="1"/>
    <col min="8457" max="8458" width="6.3984375" style="82" customWidth="1"/>
    <col min="8459" max="8704" width="9" style="82"/>
    <col min="8705" max="8705" width="9.3984375" style="82" customWidth="1"/>
    <col min="8706" max="8706" width="9.69921875" style="82" bestFit="1" customWidth="1"/>
    <col min="8707" max="8710" width="6.59765625" style="82" customWidth="1"/>
    <col min="8711" max="8712" width="14.09765625" style="82" customWidth="1"/>
    <col min="8713" max="8714" width="6.3984375" style="82" customWidth="1"/>
    <col min="8715" max="8960" width="9" style="82"/>
    <col min="8961" max="8961" width="9.3984375" style="82" customWidth="1"/>
    <col min="8962" max="8962" width="9.69921875" style="82" bestFit="1" customWidth="1"/>
    <col min="8963" max="8966" width="6.59765625" style="82" customWidth="1"/>
    <col min="8967" max="8968" width="14.09765625" style="82" customWidth="1"/>
    <col min="8969" max="8970" width="6.3984375" style="82" customWidth="1"/>
    <col min="8971" max="9216" width="9" style="82"/>
    <col min="9217" max="9217" width="9.3984375" style="82" customWidth="1"/>
    <col min="9218" max="9218" width="9.69921875" style="82" bestFit="1" customWidth="1"/>
    <col min="9219" max="9222" width="6.59765625" style="82" customWidth="1"/>
    <col min="9223" max="9224" width="14.09765625" style="82" customWidth="1"/>
    <col min="9225" max="9226" width="6.3984375" style="82" customWidth="1"/>
    <col min="9227" max="9472" width="9" style="82"/>
    <col min="9473" max="9473" width="9.3984375" style="82" customWidth="1"/>
    <col min="9474" max="9474" width="9.69921875" style="82" bestFit="1" customWidth="1"/>
    <col min="9475" max="9478" width="6.59765625" style="82" customWidth="1"/>
    <col min="9479" max="9480" width="14.09765625" style="82" customWidth="1"/>
    <col min="9481" max="9482" width="6.3984375" style="82" customWidth="1"/>
    <col min="9483" max="9728" width="9" style="82"/>
    <col min="9729" max="9729" width="9.3984375" style="82" customWidth="1"/>
    <col min="9730" max="9730" width="9.69921875" style="82" bestFit="1" customWidth="1"/>
    <col min="9731" max="9734" width="6.59765625" style="82" customWidth="1"/>
    <col min="9735" max="9736" width="14.09765625" style="82" customWidth="1"/>
    <col min="9737" max="9738" width="6.3984375" style="82" customWidth="1"/>
    <col min="9739" max="9984" width="9" style="82"/>
    <col min="9985" max="9985" width="9.3984375" style="82" customWidth="1"/>
    <col min="9986" max="9986" width="9.69921875" style="82" bestFit="1" customWidth="1"/>
    <col min="9987" max="9990" width="6.59765625" style="82" customWidth="1"/>
    <col min="9991" max="9992" width="14.09765625" style="82" customWidth="1"/>
    <col min="9993" max="9994" width="6.3984375" style="82" customWidth="1"/>
    <col min="9995" max="10240" width="9" style="82"/>
    <col min="10241" max="10241" width="9.3984375" style="82" customWidth="1"/>
    <col min="10242" max="10242" width="9.69921875" style="82" bestFit="1" customWidth="1"/>
    <col min="10243" max="10246" width="6.59765625" style="82" customWidth="1"/>
    <col min="10247" max="10248" width="14.09765625" style="82" customWidth="1"/>
    <col min="10249" max="10250" width="6.3984375" style="82" customWidth="1"/>
    <col min="10251" max="10496" width="9" style="82"/>
    <col min="10497" max="10497" width="9.3984375" style="82" customWidth="1"/>
    <col min="10498" max="10498" width="9.69921875" style="82" bestFit="1" customWidth="1"/>
    <col min="10499" max="10502" width="6.59765625" style="82" customWidth="1"/>
    <col min="10503" max="10504" width="14.09765625" style="82" customWidth="1"/>
    <col min="10505" max="10506" width="6.3984375" style="82" customWidth="1"/>
    <col min="10507" max="10752" width="9" style="82"/>
    <col min="10753" max="10753" width="9.3984375" style="82" customWidth="1"/>
    <col min="10754" max="10754" width="9.69921875" style="82" bestFit="1" customWidth="1"/>
    <col min="10755" max="10758" width="6.59765625" style="82" customWidth="1"/>
    <col min="10759" max="10760" width="14.09765625" style="82" customWidth="1"/>
    <col min="10761" max="10762" width="6.3984375" style="82" customWidth="1"/>
    <col min="10763" max="11008" width="9" style="82"/>
    <col min="11009" max="11009" width="9.3984375" style="82" customWidth="1"/>
    <col min="11010" max="11010" width="9.69921875" style="82" bestFit="1" customWidth="1"/>
    <col min="11011" max="11014" width="6.59765625" style="82" customWidth="1"/>
    <col min="11015" max="11016" width="14.09765625" style="82" customWidth="1"/>
    <col min="11017" max="11018" width="6.3984375" style="82" customWidth="1"/>
    <col min="11019" max="11264" width="9" style="82"/>
    <col min="11265" max="11265" width="9.3984375" style="82" customWidth="1"/>
    <col min="11266" max="11266" width="9.69921875" style="82" bestFit="1" customWidth="1"/>
    <col min="11267" max="11270" width="6.59765625" style="82" customWidth="1"/>
    <col min="11271" max="11272" width="14.09765625" style="82" customWidth="1"/>
    <col min="11273" max="11274" width="6.3984375" style="82" customWidth="1"/>
    <col min="11275" max="11520" width="9" style="82"/>
    <col min="11521" max="11521" width="9.3984375" style="82" customWidth="1"/>
    <col min="11522" max="11522" width="9.69921875" style="82" bestFit="1" customWidth="1"/>
    <col min="11523" max="11526" width="6.59765625" style="82" customWidth="1"/>
    <col min="11527" max="11528" width="14.09765625" style="82" customWidth="1"/>
    <col min="11529" max="11530" width="6.3984375" style="82" customWidth="1"/>
    <col min="11531" max="11776" width="9" style="82"/>
    <col min="11777" max="11777" width="9.3984375" style="82" customWidth="1"/>
    <col min="11778" max="11778" width="9.69921875" style="82" bestFit="1" customWidth="1"/>
    <col min="11779" max="11782" width="6.59765625" style="82" customWidth="1"/>
    <col min="11783" max="11784" width="14.09765625" style="82" customWidth="1"/>
    <col min="11785" max="11786" width="6.3984375" style="82" customWidth="1"/>
    <col min="11787" max="12032" width="9" style="82"/>
    <col min="12033" max="12033" width="9.3984375" style="82" customWidth="1"/>
    <col min="12034" max="12034" width="9.69921875" style="82" bestFit="1" customWidth="1"/>
    <col min="12035" max="12038" width="6.59765625" style="82" customWidth="1"/>
    <col min="12039" max="12040" width="14.09765625" style="82" customWidth="1"/>
    <col min="12041" max="12042" width="6.3984375" style="82" customWidth="1"/>
    <col min="12043" max="12288" width="9" style="82"/>
    <col min="12289" max="12289" width="9.3984375" style="82" customWidth="1"/>
    <col min="12290" max="12290" width="9.69921875" style="82" bestFit="1" customWidth="1"/>
    <col min="12291" max="12294" width="6.59765625" style="82" customWidth="1"/>
    <col min="12295" max="12296" width="14.09765625" style="82" customWidth="1"/>
    <col min="12297" max="12298" width="6.3984375" style="82" customWidth="1"/>
    <col min="12299" max="12544" width="9" style="82"/>
    <col min="12545" max="12545" width="9.3984375" style="82" customWidth="1"/>
    <col min="12546" max="12546" width="9.69921875" style="82" bestFit="1" customWidth="1"/>
    <col min="12547" max="12550" width="6.59765625" style="82" customWidth="1"/>
    <col min="12551" max="12552" width="14.09765625" style="82" customWidth="1"/>
    <col min="12553" max="12554" width="6.3984375" style="82" customWidth="1"/>
    <col min="12555" max="12800" width="9" style="82"/>
    <col min="12801" max="12801" width="9.3984375" style="82" customWidth="1"/>
    <col min="12802" max="12802" width="9.69921875" style="82" bestFit="1" customWidth="1"/>
    <col min="12803" max="12806" width="6.59765625" style="82" customWidth="1"/>
    <col min="12807" max="12808" width="14.09765625" style="82" customWidth="1"/>
    <col min="12809" max="12810" width="6.3984375" style="82" customWidth="1"/>
    <col min="12811" max="13056" width="9" style="82"/>
    <col min="13057" max="13057" width="9.3984375" style="82" customWidth="1"/>
    <col min="13058" max="13058" width="9.69921875" style="82" bestFit="1" customWidth="1"/>
    <col min="13059" max="13062" width="6.59765625" style="82" customWidth="1"/>
    <col min="13063" max="13064" width="14.09765625" style="82" customWidth="1"/>
    <col min="13065" max="13066" width="6.3984375" style="82" customWidth="1"/>
    <col min="13067" max="13312" width="9" style="82"/>
    <col min="13313" max="13313" width="9.3984375" style="82" customWidth="1"/>
    <col min="13314" max="13314" width="9.69921875" style="82" bestFit="1" customWidth="1"/>
    <col min="13315" max="13318" width="6.59765625" style="82" customWidth="1"/>
    <col min="13319" max="13320" width="14.09765625" style="82" customWidth="1"/>
    <col min="13321" max="13322" width="6.3984375" style="82" customWidth="1"/>
    <col min="13323" max="13568" width="9" style="82"/>
    <col min="13569" max="13569" width="9.3984375" style="82" customWidth="1"/>
    <col min="13570" max="13570" width="9.69921875" style="82" bestFit="1" customWidth="1"/>
    <col min="13571" max="13574" width="6.59765625" style="82" customWidth="1"/>
    <col min="13575" max="13576" width="14.09765625" style="82" customWidth="1"/>
    <col min="13577" max="13578" width="6.3984375" style="82" customWidth="1"/>
    <col min="13579" max="13824" width="9" style="82"/>
    <col min="13825" max="13825" width="9.3984375" style="82" customWidth="1"/>
    <col min="13826" max="13826" width="9.69921875" style="82" bestFit="1" customWidth="1"/>
    <col min="13827" max="13830" width="6.59765625" style="82" customWidth="1"/>
    <col min="13831" max="13832" width="14.09765625" style="82" customWidth="1"/>
    <col min="13833" max="13834" width="6.3984375" style="82" customWidth="1"/>
    <col min="13835" max="14080" width="9" style="82"/>
    <col min="14081" max="14081" width="9.3984375" style="82" customWidth="1"/>
    <col min="14082" max="14082" width="9.69921875" style="82" bestFit="1" customWidth="1"/>
    <col min="14083" max="14086" width="6.59765625" style="82" customWidth="1"/>
    <col min="14087" max="14088" width="14.09765625" style="82" customWidth="1"/>
    <col min="14089" max="14090" width="6.3984375" style="82" customWidth="1"/>
    <col min="14091" max="14336" width="9" style="82"/>
    <col min="14337" max="14337" width="9.3984375" style="82" customWidth="1"/>
    <col min="14338" max="14338" width="9.69921875" style="82" bestFit="1" customWidth="1"/>
    <col min="14339" max="14342" width="6.59765625" style="82" customWidth="1"/>
    <col min="14343" max="14344" width="14.09765625" style="82" customWidth="1"/>
    <col min="14345" max="14346" width="6.3984375" style="82" customWidth="1"/>
    <col min="14347" max="14592" width="9" style="82"/>
    <col min="14593" max="14593" width="9.3984375" style="82" customWidth="1"/>
    <col min="14594" max="14594" width="9.69921875" style="82" bestFit="1" customWidth="1"/>
    <col min="14595" max="14598" width="6.59765625" style="82" customWidth="1"/>
    <col min="14599" max="14600" width="14.09765625" style="82" customWidth="1"/>
    <col min="14601" max="14602" width="6.3984375" style="82" customWidth="1"/>
    <col min="14603" max="14848" width="9" style="82"/>
    <col min="14849" max="14849" width="9.3984375" style="82" customWidth="1"/>
    <col min="14850" max="14850" width="9.69921875" style="82" bestFit="1" customWidth="1"/>
    <col min="14851" max="14854" width="6.59765625" style="82" customWidth="1"/>
    <col min="14855" max="14856" width="14.09765625" style="82" customWidth="1"/>
    <col min="14857" max="14858" width="6.3984375" style="82" customWidth="1"/>
    <col min="14859" max="15104" width="9" style="82"/>
    <col min="15105" max="15105" width="9.3984375" style="82" customWidth="1"/>
    <col min="15106" max="15106" width="9.69921875" style="82" bestFit="1" customWidth="1"/>
    <col min="15107" max="15110" width="6.59765625" style="82" customWidth="1"/>
    <col min="15111" max="15112" width="14.09765625" style="82" customWidth="1"/>
    <col min="15113" max="15114" width="6.3984375" style="82" customWidth="1"/>
    <col min="15115" max="15360" width="9" style="82"/>
    <col min="15361" max="15361" width="9.3984375" style="82" customWidth="1"/>
    <col min="15362" max="15362" width="9.69921875" style="82" bestFit="1" customWidth="1"/>
    <col min="15363" max="15366" width="6.59765625" style="82" customWidth="1"/>
    <col min="15367" max="15368" width="14.09765625" style="82" customWidth="1"/>
    <col min="15369" max="15370" width="6.3984375" style="82" customWidth="1"/>
    <col min="15371" max="15616" width="9" style="82"/>
    <col min="15617" max="15617" width="9.3984375" style="82" customWidth="1"/>
    <col min="15618" max="15618" width="9.69921875" style="82" bestFit="1" customWidth="1"/>
    <col min="15619" max="15622" width="6.59765625" style="82" customWidth="1"/>
    <col min="15623" max="15624" width="14.09765625" style="82" customWidth="1"/>
    <col min="15625" max="15626" width="6.3984375" style="82" customWidth="1"/>
    <col min="15627" max="15872" width="9" style="82"/>
    <col min="15873" max="15873" width="9.3984375" style="82" customWidth="1"/>
    <col min="15874" max="15874" width="9.69921875" style="82" bestFit="1" customWidth="1"/>
    <col min="15875" max="15878" width="6.59765625" style="82" customWidth="1"/>
    <col min="15879" max="15880" width="14.09765625" style="82" customWidth="1"/>
    <col min="15881" max="15882" width="6.3984375" style="82" customWidth="1"/>
    <col min="15883" max="16128" width="9" style="82"/>
    <col min="16129" max="16129" width="9.3984375" style="82" customWidth="1"/>
    <col min="16130" max="16130" width="9.69921875" style="82" bestFit="1" customWidth="1"/>
    <col min="16131" max="16134" width="6.59765625" style="82" customWidth="1"/>
    <col min="16135" max="16136" width="14.09765625" style="82" customWidth="1"/>
    <col min="16137" max="16138" width="6.3984375" style="82" customWidth="1"/>
    <col min="16139" max="16384" width="9" style="82"/>
  </cols>
  <sheetData>
    <row r="1" spans="1:10" ht="30" customHeight="1">
      <c r="A1" s="2139" t="s">
        <v>516</v>
      </c>
      <c r="B1" s="2139"/>
      <c r="C1" s="2139"/>
      <c r="D1" s="2139"/>
      <c r="E1" s="2139"/>
      <c r="F1" s="2139"/>
      <c r="G1" s="2139"/>
      <c r="H1" s="2139"/>
      <c r="I1" s="2139"/>
      <c r="J1" s="2139"/>
    </row>
    <row r="2" spans="1:10" ht="16.5" customHeight="1" thickBot="1">
      <c r="A2" s="209" t="s">
        <v>260</v>
      </c>
      <c r="B2" s="188"/>
      <c r="C2" s="188"/>
      <c r="D2" s="188"/>
      <c r="E2" s="188"/>
      <c r="F2" s="188"/>
      <c r="G2" s="188"/>
      <c r="H2" s="188"/>
      <c r="J2" s="13" t="s">
        <v>517</v>
      </c>
    </row>
    <row r="3" spans="1:10" s="11" customFormat="1" ht="22.5" customHeight="1">
      <c r="A3" s="2180" t="s">
        <v>518</v>
      </c>
      <c r="B3" s="2202" t="s">
        <v>519</v>
      </c>
      <c r="C3" s="2183" t="s">
        <v>520</v>
      </c>
      <c r="D3" s="2185"/>
      <c r="E3" s="2183" t="s">
        <v>521</v>
      </c>
      <c r="F3" s="2185"/>
      <c r="G3" s="2205" t="s">
        <v>522</v>
      </c>
      <c r="H3" s="2205" t="s">
        <v>523</v>
      </c>
      <c r="I3" s="2208" t="s">
        <v>524</v>
      </c>
      <c r="J3" s="2187"/>
    </row>
    <row r="4" spans="1:10" s="11" customFormat="1" ht="10.8">
      <c r="A4" s="2181"/>
      <c r="B4" s="2198"/>
      <c r="C4" s="2192" t="s">
        <v>525</v>
      </c>
      <c r="D4" s="2192" t="s">
        <v>526</v>
      </c>
      <c r="E4" s="2192" t="s">
        <v>527</v>
      </c>
      <c r="F4" s="2192" t="s">
        <v>526</v>
      </c>
      <c r="G4" s="2206"/>
      <c r="H4" s="2206"/>
      <c r="I4" s="2188"/>
      <c r="J4" s="2195"/>
    </row>
    <row r="5" spans="1:10" s="11" customFormat="1" ht="10.8">
      <c r="A5" s="2182"/>
      <c r="B5" s="2193"/>
      <c r="C5" s="2203"/>
      <c r="D5" s="2203"/>
      <c r="E5" s="2203"/>
      <c r="F5" s="2203"/>
      <c r="G5" s="2207"/>
      <c r="H5" s="2207"/>
      <c r="I5" s="2189"/>
      <c r="J5" s="2196"/>
    </row>
    <row r="6" spans="1:10" s="11" customFormat="1" ht="15" hidden="1" customHeight="1">
      <c r="A6" s="40" t="s">
        <v>528</v>
      </c>
      <c r="B6" s="228">
        <v>32451</v>
      </c>
      <c r="C6" s="229">
        <v>3001</v>
      </c>
      <c r="D6" s="431">
        <v>663</v>
      </c>
      <c r="E6" s="229">
        <v>2543</v>
      </c>
      <c r="F6" s="431">
        <v>457</v>
      </c>
      <c r="G6" s="228">
        <v>33115</v>
      </c>
      <c r="H6" s="432">
        <v>664</v>
      </c>
      <c r="I6" s="2319">
        <f t="shared" ref="I6:I13" si="0">G6/B6*100</f>
        <v>102.04616190564235</v>
      </c>
      <c r="J6" s="2320"/>
    </row>
    <row r="7" spans="1:10" s="11" customFormat="1" ht="15" customHeight="1">
      <c r="A7" s="40" t="s">
        <v>192</v>
      </c>
      <c r="B7" s="228">
        <v>31553</v>
      </c>
      <c r="C7" s="229">
        <v>2940</v>
      </c>
      <c r="D7" s="431">
        <v>701</v>
      </c>
      <c r="E7" s="229">
        <v>3276</v>
      </c>
      <c r="F7" s="431">
        <v>541</v>
      </c>
      <c r="G7" s="228">
        <v>31377</v>
      </c>
      <c r="H7" s="432">
        <v>-176</v>
      </c>
      <c r="I7" s="2319">
        <f t="shared" si="0"/>
        <v>99.442208347859165</v>
      </c>
      <c r="J7" s="2320"/>
    </row>
    <row r="8" spans="1:10" s="11" customFormat="1" ht="15" customHeight="1">
      <c r="A8" s="40">
        <v>7</v>
      </c>
      <c r="B8" s="228">
        <v>31020</v>
      </c>
      <c r="C8" s="229">
        <v>3281</v>
      </c>
      <c r="D8" s="431">
        <v>594</v>
      </c>
      <c r="E8" s="229">
        <v>3464</v>
      </c>
      <c r="F8" s="431">
        <v>680</v>
      </c>
      <c r="G8" s="228">
        <v>30751</v>
      </c>
      <c r="H8" s="432">
        <v>-269</v>
      </c>
      <c r="I8" s="2313">
        <f t="shared" si="0"/>
        <v>99.132817537072853</v>
      </c>
      <c r="J8" s="2314"/>
    </row>
    <row r="9" spans="1:10" s="11" customFormat="1" ht="15" customHeight="1">
      <c r="A9" s="40">
        <v>12</v>
      </c>
      <c r="B9" s="228">
        <v>31011</v>
      </c>
      <c r="C9" s="229">
        <v>3465</v>
      </c>
      <c r="D9" s="431">
        <v>411</v>
      </c>
      <c r="E9" s="229">
        <v>3719</v>
      </c>
      <c r="F9" s="431">
        <v>592</v>
      </c>
      <c r="G9" s="228">
        <v>30576</v>
      </c>
      <c r="H9" s="432">
        <v>-435</v>
      </c>
      <c r="I9" s="2313">
        <f t="shared" si="0"/>
        <v>98.597271935764724</v>
      </c>
      <c r="J9" s="2314"/>
    </row>
    <row r="10" spans="1:10" s="11" customFormat="1" ht="15" customHeight="1">
      <c r="A10" s="40">
        <v>17</v>
      </c>
      <c r="B10" s="228">
        <v>29795</v>
      </c>
      <c r="C10" s="434">
        <v>3630</v>
      </c>
      <c r="D10" s="435">
        <v>440</v>
      </c>
      <c r="E10" s="435">
        <v>3661</v>
      </c>
      <c r="F10" s="436">
        <v>562</v>
      </c>
      <c r="G10" s="434">
        <v>29642</v>
      </c>
      <c r="H10" s="81">
        <v>-153</v>
      </c>
      <c r="I10" s="2313">
        <f t="shared" si="0"/>
        <v>99.486491021983554</v>
      </c>
      <c r="J10" s="2314"/>
    </row>
    <row r="11" spans="1:10" s="11" customFormat="1" ht="15" customHeight="1">
      <c r="A11" s="40">
        <v>22</v>
      </c>
      <c r="B11" s="228">
        <v>29801</v>
      </c>
      <c r="C11" s="434">
        <v>3677</v>
      </c>
      <c r="D11" s="435">
        <v>425</v>
      </c>
      <c r="E11" s="435">
        <v>3545</v>
      </c>
      <c r="F11" s="436">
        <v>574</v>
      </c>
      <c r="G11" s="434">
        <f>B11+(SUM(C11:D11)-SUM(E11:F11))</f>
        <v>29784</v>
      </c>
      <c r="H11" s="81">
        <f>(SUM(C11:D11)-SUM(E11:F11))</f>
        <v>-17</v>
      </c>
      <c r="I11" s="2313">
        <f t="shared" si="0"/>
        <v>99.942954934398173</v>
      </c>
      <c r="J11" s="2314"/>
    </row>
    <row r="12" spans="1:10" s="11" customFormat="1" ht="15" customHeight="1">
      <c r="A12" s="40">
        <v>27</v>
      </c>
      <c r="B12" s="228">
        <v>28041</v>
      </c>
      <c r="C12" s="434">
        <v>3788</v>
      </c>
      <c r="D12" s="435">
        <v>343</v>
      </c>
      <c r="E12" s="434">
        <v>3477</v>
      </c>
      <c r="F12" s="435">
        <v>649</v>
      </c>
      <c r="G12" s="434">
        <f>B12+H12</f>
        <v>28046</v>
      </c>
      <c r="H12" s="81">
        <f>(C12+D12)-(E12+F12)</f>
        <v>5</v>
      </c>
      <c r="I12" s="2313">
        <f t="shared" si="0"/>
        <v>100.01783103313007</v>
      </c>
      <c r="J12" s="2314"/>
    </row>
    <row r="13" spans="1:10" s="11" customFormat="1" ht="15" customHeight="1" thickBot="1">
      <c r="A13" s="220">
        <v>2</v>
      </c>
      <c r="B13" s="437">
        <v>26029</v>
      </c>
      <c r="C13" s="438">
        <v>3853</v>
      </c>
      <c r="D13" s="439">
        <v>365</v>
      </c>
      <c r="E13" s="438">
        <v>3121</v>
      </c>
      <c r="F13" s="439">
        <v>476</v>
      </c>
      <c r="G13" s="438">
        <f>B13+H13</f>
        <v>26650</v>
      </c>
      <c r="H13" s="440">
        <f>(C13+D13)-(E13+F13)</f>
        <v>621</v>
      </c>
      <c r="I13" s="2315">
        <f t="shared" si="0"/>
        <v>102.38580045334051</v>
      </c>
      <c r="J13" s="2316"/>
    </row>
    <row r="14" spans="1:10" s="11" customFormat="1" ht="15" customHeight="1">
      <c r="A14" s="83"/>
      <c r="B14" s="441"/>
      <c r="C14" s="442"/>
      <c r="D14" s="442"/>
      <c r="E14" s="442"/>
      <c r="F14" s="442"/>
      <c r="G14" s="442"/>
      <c r="H14" s="443"/>
      <c r="I14" s="444"/>
      <c r="J14" s="444"/>
    </row>
    <row r="15" spans="1:10" ht="16.5" customHeight="1" thickBot="1">
      <c r="A15" s="209" t="s">
        <v>529</v>
      </c>
      <c r="B15" s="188"/>
      <c r="C15" s="188"/>
      <c r="D15" s="188"/>
      <c r="E15" s="188"/>
      <c r="F15" s="188"/>
      <c r="G15" s="188"/>
      <c r="H15" s="188"/>
      <c r="J15" s="13" t="s">
        <v>517</v>
      </c>
    </row>
    <row r="16" spans="1:10" s="11" customFormat="1" ht="22.5" customHeight="1">
      <c r="A16" s="2180" t="s">
        <v>518</v>
      </c>
      <c r="B16" s="2202" t="s">
        <v>519</v>
      </c>
      <c r="C16" s="2183" t="s">
        <v>520</v>
      </c>
      <c r="D16" s="2185"/>
      <c r="E16" s="2183" t="s">
        <v>521</v>
      </c>
      <c r="F16" s="2185"/>
      <c r="G16" s="2205" t="s">
        <v>522</v>
      </c>
      <c r="H16" s="2205" t="s">
        <v>523</v>
      </c>
      <c r="I16" s="2208" t="s">
        <v>524</v>
      </c>
      <c r="J16" s="2187"/>
    </row>
    <row r="17" spans="1:11" s="11" customFormat="1" ht="10.8">
      <c r="A17" s="2181"/>
      <c r="B17" s="2198"/>
      <c r="C17" s="2192" t="s">
        <v>525</v>
      </c>
      <c r="D17" s="2192" t="s">
        <v>526</v>
      </c>
      <c r="E17" s="2192" t="s">
        <v>527</v>
      </c>
      <c r="F17" s="2192" t="s">
        <v>526</v>
      </c>
      <c r="G17" s="2206"/>
      <c r="H17" s="2206"/>
      <c r="I17" s="2188"/>
      <c r="J17" s="2195"/>
    </row>
    <row r="18" spans="1:11" s="11" customFormat="1" ht="10.8">
      <c r="A18" s="2182"/>
      <c r="B18" s="2193"/>
      <c r="C18" s="2203"/>
      <c r="D18" s="2203"/>
      <c r="E18" s="2203"/>
      <c r="F18" s="2203"/>
      <c r="G18" s="2207"/>
      <c r="H18" s="2207"/>
      <c r="I18" s="2189"/>
      <c r="J18" s="2196"/>
    </row>
    <row r="19" spans="1:11" s="11" customFormat="1" ht="15" customHeight="1">
      <c r="A19" s="40" t="s">
        <v>192</v>
      </c>
      <c r="B19" s="228">
        <v>1363</v>
      </c>
      <c r="C19" s="229">
        <v>75</v>
      </c>
      <c r="D19" s="431" t="s">
        <v>305</v>
      </c>
      <c r="E19" s="229">
        <v>308</v>
      </c>
      <c r="F19" s="431">
        <v>37</v>
      </c>
      <c r="G19" s="228">
        <f>B19+C19-E19-F19</f>
        <v>1093</v>
      </c>
      <c r="H19" s="432">
        <f>C19-(E19+F19)</f>
        <v>-270</v>
      </c>
      <c r="I19" s="2317">
        <f>G19/B19*100</f>
        <v>80.190755685986787</v>
      </c>
      <c r="J19" s="2318"/>
    </row>
    <row r="20" spans="1:11" s="11" customFormat="1" ht="15" customHeight="1">
      <c r="A20" s="40">
        <v>7</v>
      </c>
      <c r="B20" s="228">
        <v>1315</v>
      </c>
      <c r="C20" s="229">
        <v>119</v>
      </c>
      <c r="D20" s="431" t="s">
        <v>305</v>
      </c>
      <c r="E20" s="229">
        <v>270</v>
      </c>
      <c r="F20" s="431">
        <v>43</v>
      </c>
      <c r="G20" s="228">
        <f>B20+C20-E20-F20</f>
        <v>1121</v>
      </c>
      <c r="H20" s="432">
        <f>C20-(E20+F20)</f>
        <v>-194</v>
      </c>
      <c r="I20" s="2313">
        <f>G20/B20*100</f>
        <v>85.247148288973378</v>
      </c>
      <c r="J20" s="2314"/>
    </row>
    <row r="21" spans="1:11" s="11" customFormat="1" ht="15" customHeight="1">
      <c r="A21" s="40">
        <v>12</v>
      </c>
      <c r="B21" s="228">
        <v>1257</v>
      </c>
      <c r="C21" s="229">
        <v>182</v>
      </c>
      <c r="D21" s="431" t="s">
        <v>431</v>
      </c>
      <c r="E21" s="229">
        <v>242</v>
      </c>
      <c r="F21" s="431">
        <v>45</v>
      </c>
      <c r="G21" s="228">
        <f>B21+C21-E21-F21</f>
        <v>1152</v>
      </c>
      <c r="H21" s="432">
        <f>C21-(E21+F21)</f>
        <v>-105</v>
      </c>
      <c r="I21" s="2313">
        <f>G21/B21*100</f>
        <v>91.646778042959426</v>
      </c>
      <c r="J21" s="2314"/>
    </row>
    <row r="22" spans="1:11" s="11" customFormat="1" ht="15" customHeight="1" thickBot="1">
      <c r="A22" s="220">
        <v>17</v>
      </c>
      <c r="B22" s="445">
        <v>1112</v>
      </c>
      <c r="C22" s="381">
        <v>176</v>
      </c>
      <c r="D22" s="380" t="s">
        <v>431</v>
      </c>
      <c r="E22" s="381">
        <v>215</v>
      </c>
      <c r="F22" s="380">
        <v>47</v>
      </c>
      <c r="G22" s="445">
        <v>1026</v>
      </c>
      <c r="H22" s="446">
        <v>-86</v>
      </c>
      <c r="I22" s="2315">
        <v>92.266187050359719</v>
      </c>
      <c r="J22" s="2316"/>
    </row>
    <row r="23" spans="1:11" s="11" customFormat="1" ht="15" customHeight="1">
      <c r="A23" s="83"/>
      <c r="B23" s="184"/>
      <c r="C23" s="184"/>
      <c r="D23" s="184"/>
      <c r="E23" s="184"/>
      <c r="F23" s="184"/>
      <c r="G23" s="184"/>
      <c r="H23" s="77"/>
      <c r="I23" s="444"/>
      <c r="J23" s="444"/>
    </row>
    <row r="24" spans="1:11" ht="16.5" customHeight="1" thickBot="1">
      <c r="A24" s="209" t="s">
        <v>489</v>
      </c>
      <c r="B24" s="188"/>
      <c r="C24" s="188"/>
      <c r="D24" s="188"/>
      <c r="E24" s="188"/>
      <c r="F24" s="188"/>
      <c r="G24" s="188"/>
      <c r="H24" s="188"/>
      <c r="J24" s="13" t="s">
        <v>517</v>
      </c>
    </row>
    <row r="25" spans="1:11" s="11" customFormat="1" ht="22.5" customHeight="1">
      <c r="A25" s="2180" t="s">
        <v>518</v>
      </c>
      <c r="B25" s="2202" t="s">
        <v>519</v>
      </c>
      <c r="C25" s="2183" t="s">
        <v>520</v>
      </c>
      <c r="D25" s="2185"/>
      <c r="E25" s="2183" t="s">
        <v>521</v>
      </c>
      <c r="F25" s="2185"/>
      <c r="G25" s="2205" t="s">
        <v>522</v>
      </c>
      <c r="H25" s="2205" t="s">
        <v>523</v>
      </c>
      <c r="I25" s="2208" t="s">
        <v>524</v>
      </c>
      <c r="J25" s="2187"/>
    </row>
    <row r="26" spans="1:11" s="11" customFormat="1" ht="10.8">
      <c r="A26" s="2181"/>
      <c r="B26" s="2198"/>
      <c r="C26" s="2192" t="s">
        <v>525</v>
      </c>
      <c r="D26" s="2192" t="s">
        <v>526</v>
      </c>
      <c r="E26" s="2192" t="s">
        <v>527</v>
      </c>
      <c r="F26" s="2192" t="s">
        <v>526</v>
      </c>
      <c r="G26" s="2206"/>
      <c r="H26" s="2206"/>
      <c r="I26" s="2188"/>
      <c r="J26" s="2195"/>
    </row>
    <row r="27" spans="1:11" s="11" customFormat="1" ht="10.8">
      <c r="A27" s="2182"/>
      <c r="B27" s="2193"/>
      <c r="C27" s="2203"/>
      <c r="D27" s="2203"/>
      <c r="E27" s="2203"/>
      <c r="F27" s="2203"/>
      <c r="G27" s="2207"/>
      <c r="H27" s="2207"/>
      <c r="I27" s="2189"/>
      <c r="J27" s="2196"/>
    </row>
    <row r="28" spans="1:11" s="11" customFormat="1" ht="15" customHeight="1">
      <c r="A28" s="40" t="s">
        <v>192</v>
      </c>
      <c r="B28" s="228">
        <v>1340</v>
      </c>
      <c r="C28" s="229">
        <v>62</v>
      </c>
      <c r="D28" s="431" t="s">
        <v>305</v>
      </c>
      <c r="E28" s="229">
        <v>321</v>
      </c>
      <c r="F28" s="431">
        <v>46</v>
      </c>
      <c r="G28" s="228">
        <f>B28+C28-E28-F28</f>
        <v>1035</v>
      </c>
      <c r="H28" s="432">
        <f>C28-(E28+F28)</f>
        <v>-305</v>
      </c>
      <c r="I28" s="2317">
        <f>G28/B28*100</f>
        <v>77.238805970149244</v>
      </c>
      <c r="J28" s="2318"/>
      <c r="K28" s="195"/>
    </row>
    <row r="29" spans="1:11" s="11" customFormat="1" ht="15" customHeight="1">
      <c r="A29" s="40">
        <v>7</v>
      </c>
      <c r="B29" s="228">
        <v>1320</v>
      </c>
      <c r="C29" s="229">
        <v>97</v>
      </c>
      <c r="D29" s="431" t="s">
        <v>305</v>
      </c>
      <c r="E29" s="229">
        <v>303</v>
      </c>
      <c r="F29" s="431">
        <v>46</v>
      </c>
      <c r="G29" s="228">
        <f>B29+C29-E29-F29</f>
        <v>1068</v>
      </c>
      <c r="H29" s="432">
        <f>C29-(E29+F29)</f>
        <v>-252</v>
      </c>
      <c r="I29" s="2313">
        <f>G29/B29*100</f>
        <v>80.909090909090907</v>
      </c>
      <c r="J29" s="2314"/>
      <c r="K29" s="195"/>
    </row>
    <row r="30" spans="1:11" s="11" customFormat="1" ht="15" customHeight="1">
      <c r="A30" s="40">
        <v>12</v>
      </c>
      <c r="B30" s="228">
        <v>1282</v>
      </c>
      <c r="C30" s="229">
        <v>109</v>
      </c>
      <c r="D30" s="431">
        <v>1</v>
      </c>
      <c r="E30" s="229">
        <v>294</v>
      </c>
      <c r="F30" s="431">
        <v>60</v>
      </c>
      <c r="G30" s="228">
        <f>B30+C30-E30-F30</f>
        <v>1037</v>
      </c>
      <c r="H30" s="432">
        <f>(C30+D30)-(E30+F30)</f>
        <v>-244</v>
      </c>
      <c r="I30" s="2313">
        <f>G30/B30*100</f>
        <v>80.88923556942278</v>
      </c>
      <c r="J30" s="2314"/>
      <c r="K30" s="195"/>
    </row>
    <row r="31" spans="1:11" s="11" customFormat="1" ht="15" customHeight="1" thickBot="1">
      <c r="A31" s="220">
        <v>17</v>
      </c>
      <c r="B31" s="445">
        <v>1235</v>
      </c>
      <c r="C31" s="381">
        <v>99</v>
      </c>
      <c r="D31" s="381" t="s">
        <v>431</v>
      </c>
      <c r="E31" s="381">
        <v>299</v>
      </c>
      <c r="F31" s="381">
        <v>34</v>
      </c>
      <c r="G31" s="445">
        <v>1001</v>
      </c>
      <c r="H31" s="446">
        <v>-234</v>
      </c>
      <c r="I31" s="2315">
        <v>81.05263157894737</v>
      </c>
      <c r="J31" s="2316"/>
      <c r="K31" s="195"/>
    </row>
    <row r="32" spans="1:11" s="11" customFormat="1" ht="18" customHeight="1">
      <c r="A32" s="11" t="s">
        <v>530</v>
      </c>
    </row>
    <row r="33" spans="1:1">
      <c r="A33" s="29"/>
    </row>
  </sheetData>
  <mergeCells count="49">
    <mergeCell ref="I9:J9"/>
    <mergeCell ref="A3:A5"/>
    <mergeCell ref="B3:B5"/>
    <mergeCell ref="C3:D3"/>
    <mergeCell ref="E3:F3"/>
    <mergeCell ref="G3:G5"/>
    <mergeCell ref="H3:H5"/>
    <mergeCell ref="I3:J5"/>
    <mergeCell ref="C4:C5"/>
    <mergeCell ref="D4:D5"/>
    <mergeCell ref="E4:E5"/>
    <mergeCell ref="F4:F5"/>
    <mergeCell ref="I6:J6"/>
    <mergeCell ref="I7:J7"/>
    <mergeCell ref="I8:J8"/>
    <mergeCell ref="G16:G18"/>
    <mergeCell ref="C17:C18"/>
    <mergeCell ref="D17:D18"/>
    <mergeCell ref="E17:E18"/>
    <mergeCell ref="F17:F18"/>
    <mergeCell ref="I10:J10"/>
    <mergeCell ref="I11:J11"/>
    <mergeCell ref="I12:J12"/>
    <mergeCell ref="I13:J13"/>
    <mergeCell ref="I16:J18"/>
    <mergeCell ref="H16:H18"/>
    <mergeCell ref="I20:J20"/>
    <mergeCell ref="I21:J21"/>
    <mergeCell ref="I22:J22"/>
    <mergeCell ref="A25:A27"/>
    <mergeCell ref="B25:B27"/>
    <mergeCell ref="C25:D25"/>
    <mergeCell ref="E25:F25"/>
    <mergeCell ref="G25:G27"/>
    <mergeCell ref="H25:H27"/>
    <mergeCell ref="I25:J27"/>
    <mergeCell ref="I19:J19"/>
    <mergeCell ref="A16:A18"/>
    <mergeCell ref="B16:B18"/>
    <mergeCell ref="C16:D16"/>
    <mergeCell ref="E16:F16"/>
    <mergeCell ref="I30:J30"/>
    <mergeCell ref="I31:J31"/>
    <mergeCell ref="C26:C27"/>
    <mergeCell ref="D26:D27"/>
    <mergeCell ref="E26:E27"/>
    <mergeCell ref="F26:F27"/>
    <mergeCell ref="I28:J28"/>
    <mergeCell ref="I29:J29"/>
  </mergeCells>
  <phoneticPr fontId="4"/>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7780-4CE2-42F0-B79A-A01DD0AB427D}">
  <sheetPr codeName="Sheet29">
    <pageSetUpPr fitToPage="1"/>
  </sheetPr>
  <dimension ref="A1:O46"/>
  <sheetViews>
    <sheetView zoomScaleNormal="100" workbookViewId="0"/>
  </sheetViews>
  <sheetFormatPr defaultRowHeight="13.2"/>
  <cols>
    <col min="1" max="1" width="14" style="454" customWidth="1"/>
    <col min="2" max="2" width="3.19921875" style="454" customWidth="1"/>
    <col min="3" max="14" width="6" style="454" customWidth="1"/>
    <col min="15" max="256" width="9" style="454"/>
    <col min="257" max="257" width="14" style="454" customWidth="1"/>
    <col min="258" max="258" width="3.19921875" style="454" customWidth="1"/>
    <col min="259" max="270" width="6.3984375" style="454" customWidth="1"/>
    <col min="271" max="512" width="9" style="454"/>
    <col min="513" max="513" width="14" style="454" customWidth="1"/>
    <col min="514" max="514" width="3.19921875" style="454" customWidth="1"/>
    <col min="515" max="526" width="6.3984375" style="454" customWidth="1"/>
    <col min="527" max="768" width="9" style="454"/>
    <col min="769" max="769" width="14" style="454" customWidth="1"/>
    <col min="770" max="770" width="3.19921875" style="454" customWidth="1"/>
    <col min="771" max="782" width="6.3984375" style="454" customWidth="1"/>
    <col min="783" max="1024" width="9" style="454"/>
    <col min="1025" max="1025" width="14" style="454" customWidth="1"/>
    <col min="1026" max="1026" width="3.19921875" style="454" customWidth="1"/>
    <col min="1027" max="1038" width="6.3984375" style="454" customWidth="1"/>
    <col min="1039" max="1280" width="9" style="454"/>
    <col min="1281" max="1281" width="14" style="454" customWidth="1"/>
    <col min="1282" max="1282" width="3.19921875" style="454" customWidth="1"/>
    <col min="1283" max="1294" width="6.3984375" style="454" customWidth="1"/>
    <col min="1295" max="1536" width="9" style="454"/>
    <col min="1537" max="1537" width="14" style="454" customWidth="1"/>
    <col min="1538" max="1538" width="3.19921875" style="454" customWidth="1"/>
    <col min="1539" max="1550" width="6.3984375" style="454" customWidth="1"/>
    <col min="1551" max="1792" width="9" style="454"/>
    <col min="1793" max="1793" width="14" style="454" customWidth="1"/>
    <col min="1794" max="1794" width="3.19921875" style="454" customWidth="1"/>
    <col min="1795" max="1806" width="6.3984375" style="454" customWidth="1"/>
    <col min="1807" max="2048" width="9" style="454"/>
    <col min="2049" max="2049" width="14" style="454" customWidth="1"/>
    <col min="2050" max="2050" width="3.19921875" style="454" customWidth="1"/>
    <col min="2051" max="2062" width="6.3984375" style="454" customWidth="1"/>
    <col min="2063" max="2304" width="9" style="454"/>
    <col min="2305" max="2305" width="14" style="454" customWidth="1"/>
    <col min="2306" max="2306" width="3.19921875" style="454" customWidth="1"/>
    <col min="2307" max="2318" width="6.3984375" style="454" customWidth="1"/>
    <col min="2319" max="2560" width="9" style="454"/>
    <col min="2561" max="2561" width="14" style="454" customWidth="1"/>
    <col min="2562" max="2562" width="3.19921875" style="454" customWidth="1"/>
    <col min="2563" max="2574" width="6.3984375" style="454" customWidth="1"/>
    <col min="2575" max="2816" width="9" style="454"/>
    <col min="2817" max="2817" width="14" style="454" customWidth="1"/>
    <col min="2818" max="2818" width="3.19921875" style="454" customWidth="1"/>
    <col min="2819" max="2830" width="6.3984375" style="454" customWidth="1"/>
    <col min="2831" max="3072" width="9" style="454"/>
    <col min="3073" max="3073" width="14" style="454" customWidth="1"/>
    <col min="3074" max="3074" width="3.19921875" style="454" customWidth="1"/>
    <col min="3075" max="3086" width="6.3984375" style="454" customWidth="1"/>
    <col min="3087" max="3328" width="9" style="454"/>
    <col min="3329" max="3329" width="14" style="454" customWidth="1"/>
    <col min="3330" max="3330" width="3.19921875" style="454" customWidth="1"/>
    <col min="3331" max="3342" width="6.3984375" style="454" customWidth="1"/>
    <col min="3343" max="3584" width="9" style="454"/>
    <col min="3585" max="3585" width="14" style="454" customWidth="1"/>
    <col min="3586" max="3586" width="3.19921875" style="454" customWidth="1"/>
    <col min="3587" max="3598" width="6.3984375" style="454" customWidth="1"/>
    <col min="3599" max="3840" width="9" style="454"/>
    <col min="3841" max="3841" width="14" style="454" customWidth="1"/>
    <col min="3842" max="3842" width="3.19921875" style="454" customWidth="1"/>
    <col min="3843" max="3854" width="6.3984375" style="454" customWidth="1"/>
    <col min="3855" max="4096" width="9" style="454"/>
    <col min="4097" max="4097" width="14" style="454" customWidth="1"/>
    <col min="4098" max="4098" width="3.19921875" style="454" customWidth="1"/>
    <col min="4099" max="4110" width="6.3984375" style="454" customWidth="1"/>
    <col min="4111" max="4352" width="9" style="454"/>
    <col min="4353" max="4353" width="14" style="454" customWidth="1"/>
    <col min="4354" max="4354" width="3.19921875" style="454" customWidth="1"/>
    <col min="4355" max="4366" width="6.3984375" style="454" customWidth="1"/>
    <col min="4367" max="4608" width="9" style="454"/>
    <col min="4609" max="4609" width="14" style="454" customWidth="1"/>
    <col min="4610" max="4610" width="3.19921875" style="454" customWidth="1"/>
    <col min="4611" max="4622" width="6.3984375" style="454" customWidth="1"/>
    <col min="4623" max="4864" width="9" style="454"/>
    <col min="4865" max="4865" width="14" style="454" customWidth="1"/>
    <col min="4866" max="4866" width="3.19921875" style="454" customWidth="1"/>
    <col min="4867" max="4878" width="6.3984375" style="454" customWidth="1"/>
    <col min="4879" max="5120" width="9" style="454"/>
    <col min="5121" max="5121" width="14" style="454" customWidth="1"/>
    <col min="5122" max="5122" width="3.19921875" style="454" customWidth="1"/>
    <col min="5123" max="5134" width="6.3984375" style="454" customWidth="1"/>
    <col min="5135" max="5376" width="9" style="454"/>
    <col min="5377" max="5377" width="14" style="454" customWidth="1"/>
    <col min="5378" max="5378" width="3.19921875" style="454" customWidth="1"/>
    <col min="5379" max="5390" width="6.3984375" style="454" customWidth="1"/>
    <col min="5391" max="5632" width="9" style="454"/>
    <col min="5633" max="5633" width="14" style="454" customWidth="1"/>
    <col min="5634" max="5634" width="3.19921875" style="454" customWidth="1"/>
    <col min="5635" max="5646" width="6.3984375" style="454" customWidth="1"/>
    <col min="5647" max="5888" width="9" style="454"/>
    <col min="5889" max="5889" width="14" style="454" customWidth="1"/>
    <col min="5890" max="5890" width="3.19921875" style="454" customWidth="1"/>
    <col min="5891" max="5902" width="6.3984375" style="454" customWidth="1"/>
    <col min="5903" max="6144" width="9" style="454"/>
    <col min="6145" max="6145" width="14" style="454" customWidth="1"/>
    <col min="6146" max="6146" width="3.19921875" style="454" customWidth="1"/>
    <col min="6147" max="6158" width="6.3984375" style="454" customWidth="1"/>
    <col min="6159" max="6400" width="9" style="454"/>
    <col min="6401" max="6401" width="14" style="454" customWidth="1"/>
    <col min="6402" max="6402" width="3.19921875" style="454" customWidth="1"/>
    <col min="6403" max="6414" width="6.3984375" style="454" customWidth="1"/>
    <col min="6415" max="6656" width="9" style="454"/>
    <col min="6657" max="6657" width="14" style="454" customWidth="1"/>
    <col min="6658" max="6658" width="3.19921875" style="454" customWidth="1"/>
    <col min="6659" max="6670" width="6.3984375" style="454" customWidth="1"/>
    <col min="6671" max="6912" width="9" style="454"/>
    <col min="6913" max="6913" width="14" style="454" customWidth="1"/>
    <col min="6914" max="6914" width="3.19921875" style="454" customWidth="1"/>
    <col min="6915" max="6926" width="6.3984375" style="454" customWidth="1"/>
    <col min="6927" max="7168" width="9" style="454"/>
    <col min="7169" max="7169" width="14" style="454" customWidth="1"/>
    <col min="7170" max="7170" width="3.19921875" style="454" customWidth="1"/>
    <col min="7171" max="7182" width="6.3984375" style="454" customWidth="1"/>
    <col min="7183" max="7424" width="9" style="454"/>
    <col min="7425" max="7425" width="14" style="454" customWidth="1"/>
    <col min="7426" max="7426" width="3.19921875" style="454" customWidth="1"/>
    <col min="7427" max="7438" width="6.3984375" style="454" customWidth="1"/>
    <col min="7439" max="7680" width="9" style="454"/>
    <col min="7681" max="7681" width="14" style="454" customWidth="1"/>
    <col min="7682" max="7682" width="3.19921875" style="454" customWidth="1"/>
    <col min="7683" max="7694" width="6.3984375" style="454" customWidth="1"/>
    <col min="7695" max="7936" width="9" style="454"/>
    <col min="7937" max="7937" width="14" style="454" customWidth="1"/>
    <col min="7938" max="7938" width="3.19921875" style="454" customWidth="1"/>
    <col min="7939" max="7950" width="6.3984375" style="454" customWidth="1"/>
    <col min="7951" max="8192" width="9" style="454"/>
    <col min="8193" max="8193" width="14" style="454" customWidth="1"/>
    <col min="8194" max="8194" width="3.19921875" style="454" customWidth="1"/>
    <col min="8195" max="8206" width="6.3984375" style="454" customWidth="1"/>
    <col min="8207" max="8448" width="9" style="454"/>
    <col min="8449" max="8449" width="14" style="454" customWidth="1"/>
    <col min="8450" max="8450" width="3.19921875" style="454" customWidth="1"/>
    <col min="8451" max="8462" width="6.3984375" style="454" customWidth="1"/>
    <col min="8463" max="8704" width="9" style="454"/>
    <col min="8705" max="8705" width="14" style="454" customWidth="1"/>
    <col min="8706" max="8706" width="3.19921875" style="454" customWidth="1"/>
    <col min="8707" max="8718" width="6.3984375" style="454" customWidth="1"/>
    <col min="8719" max="8960" width="9" style="454"/>
    <col min="8961" max="8961" width="14" style="454" customWidth="1"/>
    <col min="8962" max="8962" width="3.19921875" style="454" customWidth="1"/>
    <col min="8963" max="8974" width="6.3984375" style="454" customWidth="1"/>
    <col min="8975" max="9216" width="9" style="454"/>
    <col min="9217" max="9217" width="14" style="454" customWidth="1"/>
    <col min="9218" max="9218" width="3.19921875" style="454" customWidth="1"/>
    <col min="9219" max="9230" width="6.3984375" style="454" customWidth="1"/>
    <col min="9231" max="9472" width="9" style="454"/>
    <col min="9473" max="9473" width="14" style="454" customWidth="1"/>
    <col min="9474" max="9474" width="3.19921875" style="454" customWidth="1"/>
    <col min="9475" max="9486" width="6.3984375" style="454" customWidth="1"/>
    <col min="9487" max="9728" width="9" style="454"/>
    <col min="9729" max="9729" width="14" style="454" customWidth="1"/>
    <col min="9730" max="9730" width="3.19921875" style="454" customWidth="1"/>
    <col min="9731" max="9742" width="6.3984375" style="454" customWidth="1"/>
    <col min="9743" max="9984" width="9" style="454"/>
    <col min="9985" max="9985" width="14" style="454" customWidth="1"/>
    <col min="9986" max="9986" width="3.19921875" style="454" customWidth="1"/>
    <col min="9987" max="9998" width="6.3984375" style="454" customWidth="1"/>
    <col min="9999" max="10240" width="9" style="454"/>
    <col min="10241" max="10241" width="14" style="454" customWidth="1"/>
    <col min="10242" max="10242" width="3.19921875" style="454" customWidth="1"/>
    <col min="10243" max="10254" width="6.3984375" style="454" customWidth="1"/>
    <col min="10255" max="10496" width="9" style="454"/>
    <col min="10497" max="10497" width="14" style="454" customWidth="1"/>
    <col min="10498" max="10498" width="3.19921875" style="454" customWidth="1"/>
    <col min="10499" max="10510" width="6.3984375" style="454" customWidth="1"/>
    <col min="10511" max="10752" width="9" style="454"/>
    <col min="10753" max="10753" width="14" style="454" customWidth="1"/>
    <col min="10754" max="10754" width="3.19921875" style="454" customWidth="1"/>
    <col min="10755" max="10766" width="6.3984375" style="454" customWidth="1"/>
    <col min="10767" max="11008" width="9" style="454"/>
    <col min="11009" max="11009" width="14" style="454" customWidth="1"/>
    <col min="11010" max="11010" width="3.19921875" style="454" customWidth="1"/>
    <col min="11011" max="11022" width="6.3984375" style="454" customWidth="1"/>
    <col min="11023" max="11264" width="9" style="454"/>
    <col min="11265" max="11265" width="14" style="454" customWidth="1"/>
    <col min="11266" max="11266" width="3.19921875" style="454" customWidth="1"/>
    <col min="11267" max="11278" width="6.3984375" style="454" customWidth="1"/>
    <col min="11279" max="11520" width="9" style="454"/>
    <col min="11521" max="11521" width="14" style="454" customWidth="1"/>
    <col min="11522" max="11522" width="3.19921875" style="454" customWidth="1"/>
    <col min="11523" max="11534" width="6.3984375" style="454" customWidth="1"/>
    <col min="11535" max="11776" width="9" style="454"/>
    <col min="11777" max="11777" width="14" style="454" customWidth="1"/>
    <col min="11778" max="11778" width="3.19921875" style="454" customWidth="1"/>
    <col min="11779" max="11790" width="6.3984375" style="454" customWidth="1"/>
    <col min="11791" max="12032" width="9" style="454"/>
    <col min="12033" max="12033" width="14" style="454" customWidth="1"/>
    <col min="12034" max="12034" width="3.19921875" style="454" customWidth="1"/>
    <col min="12035" max="12046" width="6.3984375" style="454" customWidth="1"/>
    <col min="12047" max="12288" width="9" style="454"/>
    <col min="12289" max="12289" width="14" style="454" customWidth="1"/>
    <col min="12290" max="12290" width="3.19921875" style="454" customWidth="1"/>
    <col min="12291" max="12302" width="6.3984375" style="454" customWidth="1"/>
    <col min="12303" max="12544" width="9" style="454"/>
    <col min="12545" max="12545" width="14" style="454" customWidth="1"/>
    <col min="12546" max="12546" width="3.19921875" style="454" customWidth="1"/>
    <col min="12547" max="12558" width="6.3984375" style="454" customWidth="1"/>
    <col min="12559" max="12800" width="9" style="454"/>
    <col min="12801" max="12801" width="14" style="454" customWidth="1"/>
    <col min="12802" max="12802" width="3.19921875" style="454" customWidth="1"/>
    <col min="12803" max="12814" width="6.3984375" style="454" customWidth="1"/>
    <col min="12815" max="13056" width="9" style="454"/>
    <col min="13057" max="13057" width="14" style="454" customWidth="1"/>
    <col min="13058" max="13058" width="3.19921875" style="454" customWidth="1"/>
    <col min="13059" max="13070" width="6.3984375" style="454" customWidth="1"/>
    <col min="13071" max="13312" width="9" style="454"/>
    <col min="13313" max="13313" width="14" style="454" customWidth="1"/>
    <col min="13314" max="13314" width="3.19921875" style="454" customWidth="1"/>
    <col min="13315" max="13326" width="6.3984375" style="454" customWidth="1"/>
    <col min="13327" max="13568" width="9" style="454"/>
    <col min="13569" max="13569" width="14" style="454" customWidth="1"/>
    <col min="13570" max="13570" width="3.19921875" style="454" customWidth="1"/>
    <col min="13571" max="13582" width="6.3984375" style="454" customWidth="1"/>
    <col min="13583" max="13824" width="9" style="454"/>
    <col min="13825" max="13825" width="14" style="454" customWidth="1"/>
    <col min="13826" max="13826" width="3.19921875" style="454" customWidth="1"/>
    <col min="13827" max="13838" width="6.3984375" style="454" customWidth="1"/>
    <col min="13839" max="14080" width="9" style="454"/>
    <col min="14081" max="14081" width="14" style="454" customWidth="1"/>
    <col min="14082" max="14082" width="3.19921875" style="454" customWidth="1"/>
    <col min="14083" max="14094" width="6.3984375" style="454" customWidth="1"/>
    <col min="14095" max="14336" width="9" style="454"/>
    <col min="14337" max="14337" width="14" style="454" customWidth="1"/>
    <col min="14338" max="14338" width="3.19921875" style="454" customWidth="1"/>
    <col min="14339" max="14350" width="6.3984375" style="454" customWidth="1"/>
    <col min="14351" max="14592" width="9" style="454"/>
    <col min="14593" max="14593" width="14" style="454" customWidth="1"/>
    <col min="14594" max="14594" width="3.19921875" style="454" customWidth="1"/>
    <col min="14595" max="14606" width="6.3984375" style="454" customWidth="1"/>
    <col min="14607" max="14848" width="9" style="454"/>
    <col min="14849" max="14849" width="14" style="454" customWidth="1"/>
    <col min="14850" max="14850" width="3.19921875" style="454" customWidth="1"/>
    <col min="14851" max="14862" width="6.3984375" style="454" customWidth="1"/>
    <col min="14863" max="15104" width="9" style="454"/>
    <col min="15105" max="15105" width="14" style="454" customWidth="1"/>
    <col min="15106" max="15106" width="3.19921875" style="454" customWidth="1"/>
    <col min="15107" max="15118" width="6.3984375" style="454" customWidth="1"/>
    <col min="15119" max="15360" width="9" style="454"/>
    <col min="15361" max="15361" width="14" style="454" customWidth="1"/>
    <col min="15362" max="15362" width="3.19921875" style="454" customWidth="1"/>
    <col min="15363" max="15374" width="6.3984375" style="454" customWidth="1"/>
    <col min="15375" max="15616" width="9" style="454"/>
    <col min="15617" max="15617" width="14" style="454" customWidth="1"/>
    <col min="15618" max="15618" width="3.19921875" style="454" customWidth="1"/>
    <col min="15619" max="15630" width="6.3984375" style="454" customWidth="1"/>
    <col min="15631" max="15872" width="9" style="454"/>
    <col min="15873" max="15873" width="14" style="454" customWidth="1"/>
    <col min="15874" max="15874" width="3.19921875" style="454" customWidth="1"/>
    <col min="15875" max="15886" width="6.3984375" style="454" customWidth="1"/>
    <col min="15887" max="16128" width="9" style="454"/>
    <col min="16129" max="16129" width="14" style="454" customWidth="1"/>
    <col min="16130" max="16130" width="3.19921875" style="454" customWidth="1"/>
    <col min="16131" max="16142" width="6.3984375" style="454" customWidth="1"/>
    <col min="16143" max="16384" width="9" style="454"/>
  </cols>
  <sheetData>
    <row r="1" spans="1:14" ht="30" customHeight="1">
      <c r="A1" s="453" t="s">
        <v>531</v>
      </c>
      <c r="B1" s="453"/>
      <c r="C1" s="453"/>
      <c r="D1" s="453"/>
      <c r="E1" s="453"/>
      <c r="F1" s="453"/>
    </row>
    <row r="2" spans="1:14" ht="16.8" thickBot="1">
      <c r="A2" s="455"/>
      <c r="B2" s="455"/>
      <c r="C2" s="455"/>
      <c r="D2" s="455"/>
      <c r="E2" s="455"/>
      <c r="F2" s="455"/>
      <c r="M2" s="456" t="s">
        <v>200</v>
      </c>
    </row>
    <row r="3" spans="1:14" s="171" customFormat="1" ht="30" customHeight="1">
      <c r="A3" s="457" t="s">
        <v>532</v>
      </c>
      <c r="B3" s="458" t="s">
        <v>518</v>
      </c>
      <c r="C3" s="458" t="s">
        <v>533</v>
      </c>
      <c r="D3" s="458" t="s">
        <v>534</v>
      </c>
      <c r="E3" s="458" t="s">
        <v>535</v>
      </c>
      <c r="F3" s="458" t="s">
        <v>536</v>
      </c>
      <c r="G3" s="458" t="s">
        <v>537</v>
      </c>
      <c r="H3" s="458" t="s">
        <v>538</v>
      </c>
      <c r="I3" s="458" t="s">
        <v>539</v>
      </c>
      <c r="J3" s="458" t="s">
        <v>540</v>
      </c>
      <c r="K3" s="459" t="s">
        <v>541</v>
      </c>
      <c r="L3" s="460" t="s">
        <v>542</v>
      </c>
      <c r="M3" s="461" t="s">
        <v>543</v>
      </c>
    </row>
    <row r="4" spans="1:14" s="171" customFormat="1" ht="15" customHeight="1">
      <c r="A4" s="2321" t="s">
        <v>544</v>
      </c>
      <c r="B4" s="462">
        <v>60</v>
      </c>
      <c r="C4" s="450">
        <v>3001</v>
      </c>
      <c r="D4" s="462">
        <v>180</v>
      </c>
      <c r="E4" s="462">
        <v>509</v>
      </c>
      <c r="F4" s="462">
        <v>617</v>
      </c>
      <c r="G4" s="463">
        <v>193</v>
      </c>
      <c r="H4" s="463">
        <v>248</v>
      </c>
      <c r="I4" s="462">
        <v>228</v>
      </c>
      <c r="J4" s="462">
        <v>80</v>
      </c>
      <c r="K4" s="462">
        <v>583</v>
      </c>
      <c r="L4" s="462">
        <v>294</v>
      </c>
      <c r="M4" s="464">
        <v>69</v>
      </c>
    </row>
    <row r="5" spans="1:14" s="171" customFormat="1" ht="15" customHeight="1">
      <c r="A5" s="2325"/>
      <c r="B5" s="462">
        <v>2</v>
      </c>
      <c r="C5" s="450">
        <v>2940</v>
      </c>
      <c r="D5" s="462">
        <v>202</v>
      </c>
      <c r="E5" s="462">
        <v>473</v>
      </c>
      <c r="F5" s="462">
        <v>596</v>
      </c>
      <c r="G5" s="463">
        <v>163</v>
      </c>
      <c r="H5" s="463">
        <v>209</v>
      </c>
      <c r="I5" s="462">
        <v>236</v>
      </c>
      <c r="J5" s="462">
        <v>81</v>
      </c>
      <c r="K5" s="462">
        <v>624</v>
      </c>
      <c r="L5" s="462">
        <v>304</v>
      </c>
      <c r="M5" s="464">
        <v>52</v>
      </c>
    </row>
    <row r="6" spans="1:14" s="171" customFormat="1" ht="15" customHeight="1">
      <c r="A6" s="2325"/>
      <c r="B6" s="462">
        <v>7</v>
      </c>
      <c r="C6" s="450">
        <v>3281</v>
      </c>
      <c r="D6" s="462">
        <v>214</v>
      </c>
      <c r="E6" s="462">
        <v>533</v>
      </c>
      <c r="F6" s="462">
        <v>717</v>
      </c>
      <c r="G6" s="463">
        <v>133</v>
      </c>
      <c r="H6" s="463">
        <v>188</v>
      </c>
      <c r="I6" s="462">
        <v>236</v>
      </c>
      <c r="J6" s="462">
        <v>72</v>
      </c>
      <c r="K6" s="462">
        <v>771</v>
      </c>
      <c r="L6" s="462">
        <v>317</v>
      </c>
      <c r="M6" s="464">
        <v>100</v>
      </c>
    </row>
    <row r="7" spans="1:14" s="171" customFormat="1" ht="15" customHeight="1">
      <c r="A7" s="2325"/>
      <c r="B7" s="462">
        <v>12</v>
      </c>
      <c r="C7" s="450">
        <v>3465</v>
      </c>
      <c r="D7" s="462">
        <v>248</v>
      </c>
      <c r="E7" s="462">
        <v>560</v>
      </c>
      <c r="F7" s="462">
        <v>742</v>
      </c>
      <c r="G7" s="463">
        <v>102</v>
      </c>
      <c r="H7" s="463">
        <v>173</v>
      </c>
      <c r="I7" s="462">
        <v>306</v>
      </c>
      <c r="J7" s="462">
        <v>72</v>
      </c>
      <c r="K7" s="462">
        <v>824</v>
      </c>
      <c r="L7" s="462">
        <v>336</v>
      </c>
      <c r="M7" s="464">
        <v>102</v>
      </c>
    </row>
    <row r="8" spans="1:14" s="171" customFormat="1" ht="15" customHeight="1">
      <c r="A8" s="2325"/>
      <c r="B8" s="462">
        <v>17</v>
      </c>
      <c r="C8" s="450">
        <f>SUM(D8:M8)</f>
        <v>3630</v>
      </c>
      <c r="D8" s="462">
        <v>278</v>
      </c>
      <c r="E8" s="462">
        <v>530</v>
      </c>
      <c r="F8" s="462">
        <v>771</v>
      </c>
      <c r="G8" s="463">
        <v>93</v>
      </c>
      <c r="H8" s="463">
        <v>152</v>
      </c>
      <c r="I8" s="462">
        <v>392</v>
      </c>
      <c r="J8" s="462">
        <v>66</v>
      </c>
      <c r="K8" s="462">
        <v>1006</v>
      </c>
      <c r="L8" s="462">
        <v>282</v>
      </c>
      <c r="M8" s="464">
        <v>60</v>
      </c>
    </row>
    <row r="9" spans="1:14" s="171" customFormat="1" ht="15" customHeight="1">
      <c r="A9" s="2325"/>
      <c r="B9" s="462">
        <v>22</v>
      </c>
      <c r="C9" s="450">
        <v>3677</v>
      </c>
      <c r="D9" s="462">
        <v>320</v>
      </c>
      <c r="E9" s="462">
        <v>579</v>
      </c>
      <c r="F9" s="462">
        <v>894</v>
      </c>
      <c r="G9" s="463" t="s">
        <v>431</v>
      </c>
      <c r="H9" s="463" t="s">
        <v>431</v>
      </c>
      <c r="I9" s="462">
        <v>409</v>
      </c>
      <c r="J9" s="462">
        <v>73</v>
      </c>
      <c r="K9" s="462">
        <v>1047</v>
      </c>
      <c r="L9" s="462">
        <v>301</v>
      </c>
      <c r="M9" s="464">
        <v>54</v>
      </c>
    </row>
    <row r="10" spans="1:14" s="171" customFormat="1" ht="15" customHeight="1">
      <c r="A10" s="2325"/>
      <c r="B10" s="462">
        <v>27</v>
      </c>
      <c r="C10" s="450">
        <v>3788</v>
      </c>
      <c r="D10" s="462">
        <v>325</v>
      </c>
      <c r="E10" s="462">
        <v>635</v>
      </c>
      <c r="F10" s="462">
        <v>905</v>
      </c>
      <c r="G10" s="463" t="s">
        <v>431</v>
      </c>
      <c r="H10" s="463" t="s">
        <v>431</v>
      </c>
      <c r="I10" s="462">
        <v>404</v>
      </c>
      <c r="J10" s="462">
        <v>48</v>
      </c>
      <c r="K10" s="462">
        <v>1101</v>
      </c>
      <c r="L10" s="462">
        <v>287</v>
      </c>
      <c r="M10" s="464">
        <v>83</v>
      </c>
      <c r="N10" s="465"/>
    </row>
    <row r="11" spans="1:14" s="171" customFormat="1" ht="15" customHeight="1">
      <c r="A11" s="2323"/>
      <c r="B11" s="466">
        <v>2</v>
      </c>
      <c r="C11" s="451">
        <v>3766</v>
      </c>
      <c r="D11" s="466">
        <v>333</v>
      </c>
      <c r="E11" s="466">
        <v>612</v>
      </c>
      <c r="F11" s="466">
        <v>925</v>
      </c>
      <c r="G11" s="467" t="s">
        <v>305</v>
      </c>
      <c r="H11" s="467" t="s">
        <v>305</v>
      </c>
      <c r="I11" s="466">
        <v>324</v>
      </c>
      <c r="J11" s="466">
        <v>55</v>
      </c>
      <c r="K11" s="466">
        <v>1180</v>
      </c>
      <c r="L11" s="466">
        <v>337</v>
      </c>
      <c r="M11" s="468">
        <v>87</v>
      </c>
      <c r="N11" s="465"/>
    </row>
    <row r="12" spans="1:14" s="171" customFormat="1" ht="15" customHeight="1">
      <c r="A12" s="2321" t="s">
        <v>545</v>
      </c>
      <c r="B12" s="462">
        <v>60</v>
      </c>
      <c r="C12" s="450">
        <v>2543</v>
      </c>
      <c r="D12" s="462">
        <v>769</v>
      </c>
      <c r="E12" s="462">
        <v>403</v>
      </c>
      <c r="F12" s="462">
        <v>201</v>
      </c>
      <c r="G12" s="463">
        <v>36</v>
      </c>
      <c r="H12" s="463">
        <v>40</v>
      </c>
      <c r="I12" s="462">
        <v>193</v>
      </c>
      <c r="J12" s="462">
        <v>31</v>
      </c>
      <c r="K12" s="462">
        <v>708</v>
      </c>
      <c r="L12" s="462">
        <v>127</v>
      </c>
      <c r="M12" s="464">
        <v>35</v>
      </c>
    </row>
    <row r="13" spans="1:14" s="171" customFormat="1" ht="15" customHeight="1">
      <c r="A13" s="2325"/>
      <c r="B13" s="462">
        <v>2</v>
      </c>
      <c r="C13" s="450">
        <v>3276</v>
      </c>
      <c r="D13" s="462">
        <v>850</v>
      </c>
      <c r="E13" s="462">
        <v>452</v>
      </c>
      <c r="F13" s="462">
        <v>287</v>
      </c>
      <c r="G13" s="463">
        <v>24</v>
      </c>
      <c r="H13" s="463">
        <v>29</v>
      </c>
      <c r="I13" s="462">
        <v>341</v>
      </c>
      <c r="J13" s="462">
        <v>48</v>
      </c>
      <c r="K13" s="462">
        <v>1049</v>
      </c>
      <c r="L13" s="462">
        <v>158</v>
      </c>
      <c r="M13" s="464">
        <v>38</v>
      </c>
    </row>
    <row r="14" spans="1:14" s="171" customFormat="1" ht="15" customHeight="1">
      <c r="A14" s="2325"/>
      <c r="B14" s="462">
        <v>7</v>
      </c>
      <c r="C14" s="450">
        <v>3464</v>
      </c>
      <c r="D14" s="462">
        <v>776</v>
      </c>
      <c r="E14" s="462">
        <v>468</v>
      </c>
      <c r="F14" s="462">
        <v>286</v>
      </c>
      <c r="G14" s="463">
        <v>49</v>
      </c>
      <c r="H14" s="463">
        <v>42</v>
      </c>
      <c r="I14" s="462">
        <v>404</v>
      </c>
      <c r="J14" s="462">
        <v>60</v>
      </c>
      <c r="K14" s="462">
        <v>1087</v>
      </c>
      <c r="L14" s="462">
        <v>206</v>
      </c>
      <c r="M14" s="464">
        <v>86</v>
      </c>
    </row>
    <row r="15" spans="1:14" s="171" customFormat="1" ht="15" customHeight="1">
      <c r="A15" s="2325"/>
      <c r="B15" s="462">
        <v>12</v>
      </c>
      <c r="C15" s="450">
        <v>3719</v>
      </c>
      <c r="D15" s="462">
        <v>776</v>
      </c>
      <c r="E15" s="462">
        <v>504</v>
      </c>
      <c r="F15" s="462">
        <v>317</v>
      </c>
      <c r="G15" s="463">
        <v>98</v>
      </c>
      <c r="H15" s="463">
        <v>45</v>
      </c>
      <c r="I15" s="462">
        <v>347</v>
      </c>
      <c r="J15" s="462">
        <v>64</v>
      </c>
      <c r="K15" s="462">
        <v>1229</v>
      </c>
      <c r="L15" s="462">
        <v>273</v>
      </c>
      <c r="M15" s="464">
        <v>66</v>
      </c>
    </row>
    <row r="16" spans="1:14" s="171" customFormat="1" ht="15" customHeight="1">
      <c r="A16" s="2325"/>
      <c r="B16" s="462">
        <v>17</v>
      </c>
      <c r="C16" s="450">
        <f>SUM(D16:M16)</f>
        <v>3661</v>
      </c>
      <c r="D16" s="462">
        <v>767</v>
      </c>
      <c r="E16" s="462">
        <v>471</v>
      </c>
      <c r="F16" s="462">
        <v>381</v>
      </c>
      <c r="G16" s="463">
        <v>95</v>
      </c>
      <c r="H16" s="463">
        <v>36</v>
      </c>
      <c r="I16" s="462">
        <v>299</v>
      </c>
      <c r="J16" s="462">
        <v>48</v>
      </c>
      <c r="K16" s="462">
        <v>1199</v>
      </c>
      <c r="L16" s="462">
        <v>298</v>
      </c>
      <c r="M16" s="464">
        <v>67</v>
      </c>
    </row>
    <row r="17" spans="1:15" s="171" customFormat="1" ht="15" customHeight="1">
      <c r="A17" s="2325"/>
      <c r="B17" s="462">
        <v>22</v>
      </c>
      <c r="C17" s="450">
        <v>3545</v>
      </c>
      <c r="D17" s="462">
        <v>716</v>
      </c>
      <c r="E17" s="462">
        <v>499</v>
      </c>
      <c r="F17" s="462">
        <v>359</v>
      </c>
      <c r="G17" s="463" t="s">
        <v>431</v>
      </c>
      <c r="H17" s="463" t="s">
        <v>431</v>
      </c>
      <c r="I17" s="462">
        <v>344</v>
      </c>
      <c r="J17" s="462">
        <v>53</v>
      </c>
      <c r="K17" s="462">
        <v>1178</v>
      </c>
      <c r="L17" s="462">
        <v>313</v>
      </c>
      <c r="M17" s="464">
        <v>83</v>
      </c>
    </row>
    <row r="18" spans="1:15" s="171" customFormat="1" ht="15" customHeight="1">
      <c r="A18" s="2325"/>
      <c r="B18" s="462">
        <v>27</v>
      </c>
      <c r="C18" s="450">
        <v>3477</v>
      </c>
      <c r="D18" s="462">
        <v>675</v>
      </c>
      <c r="E18" s="462">
        <v>491</v>
      </c>
      <c r="F18" s="462">
        <v>405</v>
      </c>
      <c r="G18" s="463" t="s">
        <v>431</v>
      </c>
      <c r="H18" s="463" t="s">
        <v>431</v>
      </c>
      <c r="I18" s="462">
        <v>368</v>
      </c>
      <c r="J18" s="462">
        <v>55</v>
      </c>
      <c r="K18" s="462">
        <v>1081</v>
      </c>
      <c r="L18" s="462">
        <v>315</v>
      </c>
      <c r="M18" s="464">
        <v>87</v>
      </c>
    </row>
    <row r="19" spans="1:15" s="171" customFormat="1" ht="15" customHeight="1" thickBot="1">
      <c r="A19" s="2324"/>
      <c r="B19" s="469">
        <v>2</v>
      </c>
      <c r="C19" s="452">
        <v>2993</v>
      </c>
      <c r="D19" s="469">
        <v>554</v>
      </c>
      <c r="E19" s="469">
        <v>432</v>
      </c>
      <c r="F19" s="469">
        <v>335</v>
      </c>
      <c r="G19" s="470" t="s">
        <v>305</v>
      </c>
      <c r="H19" s="470" t="s">
        <v>305</v>
      </c>
      <c r="I19" s="469">
        <v>348</v>
      </c>
      <c r="J19" s="469">
        <v>64</v>
      </c>
      <c r="K19" s="469">
        <v>991</v>
      </c>
      <c r="L19" s="469">
        <v>269</v>
      </c>
      <c r="M19" s="471">
        <v>79</v>
      </c>
    </row>
    <row r="20" spans="1:15" ht="16.5" customHeight="1" thickBot="1">
      <c r="A20" s="472"/>
      <c r="B20" s="455"/>
      <c r="C20" s="455"/>
      <c r="E20" s="455"/>
      <c r="F20" s="455"/>
      <c r="G20" s="455"/>
      <c r="M20" s="2326" t="s">
        <v>200</v>
      </c>
      <c r="N20" s="2326"/>
    </row>
    <row r="21" spans="1:15" s="171" customFormat="1" ht="30" customHeight="1">
      <c r="A21" s="457" t="s">
        <v>546</v>
      </c>
      <c r="B21" s="458" t="s">
        <v>518</v>
      </c>
      <c r="C21" s="458" t="s">
        <v>533</v>
      </c>
      <c r="D21" s="458" t="s">
        <v>534</v>
      </c>
      <c r="E21" s="458" t="s">
        <v>260</v>
      </c>
      <c r="F21" s="458" t="s">
        <v>535</v>
      </c>
      <c r="G21" s="458" t="s">
        <v>547</v>
      </c>
      <c r="H21" s="458" t="s">
        <v>538</v>
      </c>
      <c r="I21" s="458" t="s">
        <v>548</v>
      </c>
      <c r="J21" s="458" t="s">
        <v>540</v>
      </c>
      <c r="K21" s="458" t="s">
        <v>549</v>
      </c>
      <c r="L21" s="459" t="s">
        <v>541</v>
      </c>
      <c r="M21" s="460" t="s">
        <v>550</v>
      </c>
      <c r="N21" s="461" t="s">
        <v>543</v>
      </c>
    </row>
    <row r="22" spans="1:15" s="171" customFormat="1" ht="15" customHeight="1">
      <c r="A22" s="2321" t="s">
        <v>551</v>
      </c>
      <c r="B22" s="462">
        <v>60</v>
      </c>
      <c r="C22" s="450">
        <v>76</v>
      </c>
      <c r="D22" s="462" t="s">
        <v>69</v>
      </c>
      <c r="E22" s="462">
        <v>36</v>
      </c>
      <c r="F22" s="462" t="s">
        <v>69</v>
      </c>
      <c r="G22" s="462" t="s">
        <v>69</v>
      </c>
      <c r="H22" s="462" t="s">
        <v>69</v>
      </c>
      <c r="I22" s="462" t="s">
        <v>69</v>
      </c>
      <c r="J22" s="462" t="s">
        <v>69</v>
      </c>
      <c r="K22" s="462" t="s">
        <v>69</v>
      </c>
      <c r="L22" s="462" t="s">
        <v>69</v>
      </c>
      <c r="M22" s="462">
        <v>39</v>
      </c>
      <c r="N22" s="464">
        <v>1</v>
      </c>
    </row>
    <row r="23" spans="1:15" s="171" customFormat="1" ht="15" customHeight="1">
      <c r="A23" s="2325"/>
      <c r="B23" s="462">
        <v>2</v>
      </c>
      <c r="C23" s="450">
        <v>75</v>
      </c>
      <c r="D23" s="462">
        <v>1</v>
      </c>
      <c r="E23" s="462">
        <v>24</v>
      </c>
      <c r="F23" s="462">
        <v>7</v>
      </c>
      <c r="G23" s="462">
        <v>6</v>
      </c>
      <c r="H23" s="462">
        <v>2</v>
      </c>
      <c r="I23" s="462">
        <v>2</v>
      </c>
      <c r="J23" s="462" t="s">
        <v>305</v>
      </c>
      <c r="K23" s="462" t="s">
        <v>305</v>
      </c>
      <c r="L23" s="462">
        <v>5</v>
      </c>
      <c r="M23" s="462">
        <v>27</v>
      </c>
      <c r="N23" s="464">
        <v>1</v>
      </c>
    </row>
    <row r="24" spans="1:15" s="171" customFormat="1" ht="15" customHeight="1">
      <c r="A24" s="2325"/>
      <c r="B24" s="462">
        <v>7</v>
      </c>
      <c r="C24" s="450">
        <v>119</v>
      </c>
      <c r="D24" s="462" t="s">
        <v>69</v>
      </c>
      <c r="E24" s="462">
        <v>49</v>
      </c>
      <c r="F24" s="462">
        <v>10</v>
      </c>
      <c r="G24" s="462" t="s">
        <v>69</v>
      </c>
      <c r="H24" s="462" t="s">
        <v>69</v>
      </c>
      <c r="I24" s="462" t="s">
        <v>69</v>
      </c>
      <c r="J24" s="462" t="s">
        <v>69</v>
      </c>
      <c r="K24" s="462">
        <v>11</v>
      </c>
      <c r="L24" s="462" t="s">
        <v>69</v>
      </c>
      <c r="M24" s="462">
        <v>48</v>
      </c>
      <c r="N24" s="464">
        <v>1</v>
      </c>
    </row>
    <row r="25" spans="1:15" s="171" customFormat="1" ht="15" customHeight="1">
      <c r="A25" s="2325"/>
      <c r="B25" s="462">
        <v>12</v>
      </c>
      <c r="C25" s="450">
        <v>182</v>
      </c>
      <c r="D25" s="462" t="s">
        <v>73</v>
      </c>
      <c r="E25" s="462">
        <v>98</v>
      </c>
      <c r="F25" s="462">
        <v>18</v>
      </c>
      <c r="G25" s="462">
        <v>17</v>
      </c>
      <c r="H25" s="462" t="s">
        <v>73</v>
      </c>
      <c r="I25" s="462" t="s">
        <v>73</v>
      </c>
      <c r="J25" s="462" t="s">
        <v>73</v>
      </c>
      <c r="K25" s="462">
        <v>10</v>
      </c>
      <c r="L25" s="462" t="s">
        <v>73</v>
      </c>
      <c r="M25" s="462">
        <v>39</v>
      </c>
      <c r="N25" s="464" t="s">
        <v>431</v>
      </c>
    </row>
    <row r="26" spans="1:15" s="171" customFormat="1" ht="15" customHeight="1">
      <c r="A26" s="2323"/>
      <c r="B26" s="466">
        <v>17</v>
      </c>
      <c r="C26" s="451">
        <f>SUM(D26:N26)</f>
        <v>176</v>
      </c>
      <c r="D26" s="466" t="s">
        <v>73</v>
      </c>
      <c r="E26" s="466">
        <v>95</v>
      </c>
      <c r="F26" s="466">
        <v>16</v>
      </c>
      <c r="G26" s="466">
        <v>17</v>
      </c>
      <c r="H26" s="466" t="s">
        <v>73</v>
      </c>
      <c r="I26" s="466" t="s">
        <v>73</v>
      </c>
      <c r="J26" s="466" t="s">
        <v>73</v>
      </c>
      <c r="K26" s="466" t="s">
        <v>73</v>
      </c>
      <c r="L26" s="466">
        <v>21</v>
      </c>
      <c r="M26" s="466">
        <v>26</v>
      </c>
      <c r="N26" s="473">
        <v>1</v>
      </c>
    </row>
    <row r="27" spans="1:15" s="171" customFormat="1" ht="15" customHeight="1">
      <c r="A27" s="2321" t="s">
        <v>552</v>
      </c>
      <c r="B27" s="462">
        <v>60</v>
      </c>
      <c r="C27" s="450">
        <v>346</v>
      </c>
      <c r="D27" s="462">
        <v>51</v>
      </c>
      <c r="E27" s="462">
        <v>193</v>
      </c>
      <c r="F27" s="462">
        <v>18</v>
      </c>
      <c r="G27" s="462" t="s">
        <v>69</v>
      </c>
      <c r="H27" s="462" t="s">
        <v>69</v>
      </c>
      <c r="I27" s="462" t="s">
        <v>69</v>
      </c>
      <c r="J27" s="462" t="s">
        <v>69</v>
      </c>
      <c r="K27" s="462">
        <v>13</v>
      </c>
      <c r="L27" s="462" t="s">
        <v>69</v>
      </c>
      <c r="M27" s="462">
        <v>71</v>
      </c>
      <c r="N27" s="464" t="s">
        <v>305</v>
      </c>
    </row>
    <row r="28" spans="1:15" s="171" customFormat="1" ht="15" customHeight="1">
      <c r="A28" s="2325"/>
      <c r="B28" s="462">
        <v>2</v>
      </c>
      <c r="C28" s="450">
        <v>308</v>
      </c>
      <c r="D28" s="462">
        <v>43</v>
      </c>
      <c r="E28" s="462">
        <v>163</v>
      </c>
      <c r="F28" s="462">
        <v>20</v>
      </c>
      <c r="G28" s="462">
        <v>12</v>
      </c>
      <c r="H28" s="462" t="s">
        <v>305</v>
      </c>
      <c r="I28" s="462">
        <v>2</v>
      </c>
      <c r="J28" s="462">
        <v>1</v>
      </c>
      <c r="K28" s="462">
        <v>8</v>
      </c>
      <c r="L28" s="462">
        <v>26</v>
      </c>
      <c r="M28" s="462">
        <v>33</v>
      </c>
      <c r="N28" s="464" t="s">
        <v>305</v>
      </c>
    </row>
    <row r="29" spans="1:15" s="171" customFormat="1" ht="15" customHeight="1">
      <c r="A29" s="2325"/>
      <c r="B29" s="462">
        <v>7</v>
      </c>
      <c r="C29" s="450">
        <v>270</v>
      </c>
      <c r="D29" s="462">
        <v>48</v>
      </c>
      <c r="E29" s="462">
        <v>133</v>
      </c>
      <c r="F29" s="462">
        <v>18</v>
      </c>
      <c r="G29" s="462" t="s">
        <v>69</v>
      </c>
      <c r="H29" s="462" t="s">
        <v>69</v>
      </c>
      <c r="I29" s="462" t="s">
        <v>69</v>
      </c>
      <c r="J29" s="462" t="s">
        <v>69</v>
      </c>
      <c r="K29" s="462" t="s">
        <v>69</v>
      </c>
      <c r="L29" s="462" t="s">
        <v>69</v>
      </c>
      <c r="M29" s="462">
        <v>71</v>
      </c>
      <c r="N29" s="464" t="s">
        <v>305</v>
      </c>
    </row>
    <row r="30" spans="1:15" s="171" customFormat="1" ht="15" customHeight="1">
      <c r="A30" s="2325"/>
      <c r="B30" s="462">
        <v>12</v>
      </c>
      <c r="C30" s="450">
        <v>242</v>
      </c>
      <c r="D30" s="462">
        <v>39</v>
      </c>
      <c r="E30" s="462">
        <v>102</v>
      </c>
      <c r="F30" s="462">
        <v>19</v>
      </c>
      <c r="G30" s="462" t="s">
        <v>69</v>
      </c>
      <c r="H30" s="462" t="s">
        <v>73</v>
      </c>
      <c r="I30" s="462" t="s">
        <v>73</v>
      </c>
      <c r="J30" s="462" t="s">
        <v>73</v>
      </c>
      <c r="K30" s="462" t="s">
        <v>69</v>
      </c>
      <c r="L30" s="462" t="s">
        <v>73</v>
      </c>
      <c r="M30" s="462">
        <v>80</v>
      </c>
      <c r="N30" s="464">
        <v>2</v>
      </c>
    </row>
    <row r="31" spans="1:15" s="171" customFormat="1" ht="15" customHeight="1" thickBot="1">
      <c r="A31" s="2324"/>
      <c r="B31" s="469">
        <v>17</v>
      </c>
      <c r="C31" s="452">
        <f>SUM(D31:M31)</f>
        <v>215</v>
      </c>
      <c r="D31" s="469">
        <v>33</v>
      </c>
      <c r="E31" s="469">
        <v>93</v>
      </c>
      <c r="F31" s="469">
        <v>25</v>
      </c>
      <c r="G31" s="469" t="s">
        <v>73</v>
      </c>
      <c r="H31" s="469" t="s">
        <v>73</v>
      </c>
      <c r="I31" s="469" t="s">
        <v>73</v>
      </c>
      <c r="J31" s="469" t="s">
        <v>73</v>
      </c>
      <c r="K31" s="469" t="s">
        <v>73</v>
      </c>
      <c r="L31" s="469">
        <v>29</v>
      </c>
      <c r="M31" s="469">
        <v>35</v>
      </c>
      <c r="N31" s="471" t="s">
        <v>431</v>
      </c>
    </row>
    <row r="32" spans="1:15" ht="16.5" customHeight="1" thickBot="1">
      <c r="A32" s="472"/>
      <c r="B32" s="455"/>
      <c r="C32" s="455"/>
      <c r="D32" s="455"/>
      <c r="E32" s="455"/>
      <c r="F32" s="455"/>
      <c r="M32" s="2327" t="s">
        <v>200</v>
      </c>
      <c r="N32" s="2327"/>
      <c r="O32" s="474"/>
    </row>
    <row r="33" spans="1:14" s="171" customFormat="1" ht="30" customHeight="1">
      <c r="A33" s="457" t="s">
        <v>553</v>
      </c>
      <c r="B33" s="458" t="s">
        <v>518</v>
      </c>
      <c r="C33" s="458" t="s">
        <v>554</v>
      </c>
      <c r="D33" s="458" t="s">
        <v>555</v>
      </c>
      <c r="E33" s="458" t="s">
        <v>556</v>
      </c>
      <c r="F33" s="458" t="s">
        <v>557</v>
      </c>
      <c r="G33" s="458" t="s">
        <v>547</v>
      </c>
      <c r="H33" s="458" t="s">
        <v>558</v>
      </c>
      <c r="I33" s="458" t="s">
        <v>548</v>
      </c>
      <c r="J33" s="458" t="s">
        <v>540</v>
      </c>
      <c r="K33" s="458" t="s">
        <v>559</v>
      </c>
      <c r="L33" s="459" t="s">
        <v>541</v>
      </c>
      <c r="M33" s="460" t="s">
        <v>550</v>
      </c>
      <c r="N33" s="461" t="s">
        <v>543</v>
      </c>
    </row>
    <row r="34" spans="1:14" s="171" customFormat="1" ht="15" customHeight="1">
      <c r="A34" s="2321" t="s">
        <v>560</v>
      </c>
      <c r="B34" s="462">
        <v>60</v>
      </c>
      <c r="C34" s="450">
        <v>67</v>
      </c>
      <c r="D34" s="462" t="s">
        <v>69</v>
      </c>
      <c r="E34" s="463">
        <v>40</v>
      </c>
      <c r="F34" s="462" t="s">
        <v>69</v>
      </c>
      <c r="G34" s="462" t="s">
        <v>69</v>
      </c>
      <c r="H34" s="462" t="s">
        <v>69</v>
      </c>
      <c r="I34" s="462" t="s">
        <v>69</v>
      </c>
      <c r="J34" s="462" t="s">
        <v>69</v>
      </c>
      <c r="K34" s="462" t="s">
        <v>69</v>
      </c>
      <c r="L34" s="462" t="s">
        <v>69</v>
      </c>
      <c r="M34" s="462">
        <v>26</v>
      </c>
      <c r="N34" s="464">
        <v>1</v>
      </c>
    </row>
    <row r="35" spans="1:14" s="171" customFormat="1" ht="15" customHeight="1">
      <c r="A35" s="2322"/>
      <c r="B35" s="462">
        <v>2</v>
      </c>
      <c r="C35" s="450">
        <v>62</v>
      </c>
      <c r="D35" s="462" t="s">
        <v>305</v>
      </c>
      <c r="E35" s="463">
        <v>29</v>
      </c>
      <c r="F35" s="462">
        <v>7</v>
      </c>
      <c r="G35" s="462">
        <v>5</v>
      </c>
      <c r="H35" s="462" t="s">
        <v>305</v>
      </c>
      <c r="I35" s="462">
        <v>7</v>
      </c>
      <c r="J35" s="462">
        <v>2</v>
      </c>
      <c r="K35" s="462">
        <v>4</v>
      </c>
      <c r="L35" s="462">
        <v>5</v>
      </c>
      <c r="M35" s="462">
        <v>3</v>
      </c>
      <c r="N35" s="464" t="s">
        <v>305</v>
      </c>
    </row>
    <row r="36" spans="1:14" s="171" customFormat="1" ht="15" customHeight="1">
      <c r="A36" s="2322"/>
      <c r="B36" s="462">
        <v>7</v>
      </c>
      <c r="C36" s="450">
        <v>97</v>
      </c>
      <c r="D36" s="462" t="s">
        <v>69</v>
      </c>
      <c r="E36" s="463">
        <v>42</v>
      </c>
      <c r="F36" s="462" t="s">
        <v>69</v>
      </c>
      <c r="G36" s="462" t="s">
        <v>69</v>
      </c>
      <c r="H36" s="462" t="s">
        <v>69</v>
      </c>
      <c r="I36" s="462" t="s">
        <v>69</v>
      </c>
      <c r="J36" s="462" t="s">
        <v>69</v>
      </c>
      <c r="K36" s="462">
        <v>12</v>
      </c>
      <c r="L36" s="462" t="s">
        <v>305</v>
      </c>
      <c r="M36" s="462">
        <v>34</v>
      </c>
      <c r="N36" s="464">
        <v>9</v>
      </c>
    </row>
    <row r="37" spans="1:14" s="171" customFormat="1" ht="15" customHeight="1">
      <c r="A37" s="2322"/>
      <c r="B37" s="462">
        <v>12</v>
      </c>
      <c r="C37" s="450">
        <v>109</v>
      </c>
      <c r="D37" s="462" t="s">
        <v>73</v>
      </c>
      <c r="E37" s="463">
        <v>45</v>
      </c>
      <c r="F37" s="462" t="s">
        <v>73</v>
      </c>
      <c r="G37" s="462">
        <v>10</v>
      </c>
      <c r="H37" s="462" t="s">
        <v>69</v>
      </c>
      <c r="I37" s="462">
        <v>22</v>
      </c>
      <c r="J37" s="462" t="s">
        <v>73</v>
      </c>
      <c r="K37" s="462" t="s">
        <v>73</v>
      </c>
      <c r="L37" s="462" t="s">
        <v>73</v>
      </c>
      <c r="M37" s="462">
        <v>31</v>
      </c>
      <c r="N37" s="464">
        <v>1</v>
      </c>
    </row>
    <row r="38" spans="1:14" s="171" customFormat="1" ht="15" customHeight="1">
      <c r="A38" s="2323"/>
      <c r="B38" s="466">
        <v>17</v>
      </c>
      <c r="C38" s="451">
        <f>SUM(D38:N38)</f>
        <v>99</v>
      </c>
      <c r="D38" s="466" t="s">
        <v>73</v>
      </c>
      <c r="E38" s="467">
        <v>36</v>
      </c>
      <c r="F38" s="466" t="s">
        <v>73</v>
      </c>
      <c r="G38" s="466" t="s">
        <v>73</v>
      </c>
      <c r="H38" s="466" t="s">
        <v>73</v>
      </c>
      <c r="I38" s="466">
        <v>19</v>
      </c>
      <c r="J38" s="466" t="s">
        <v>73</v>
      </c>
      <c r="K38" s="466" t="s">
        <v>73</v>
      </c>
      <c r="L38" s="466" t="s">
        <v>73</v>
      </c>
      <c r="M38" s="466">
        <v>43</v>
      </c>
      <c r="N38" s="468">
        <v>1</v>
      </c>
    </row>
    <row r="39" spans="1:14" s="171" customFormat="1" ht="15" customHeight="1">
      <c r="A39" s="2321" t="s">
        <v>561</v>
      </c>
      <c r="B39" s="462">
        <v>60</v>
      </c>
      <c r="C39" s="450">
        <v>354</v>
      </c>
      <c r="D39" s="462">
        <v>7</v>
      </c>
      <c r="E39" s="463">
        <v>248</v>
      </c>
      <c r="F39" s="462">
        <v>8</v>
      </c>
      <c r="G39" s="462" t="s">
        <v>69</v>
      </c>
      <c r="H39" s="475" t="s">
        <v>69</v>
      </c>
      <c r="I39" s="462">
        <v>43</v>
      </c>
      <c r="J39" s="476" t="s">
        <v>73</v>
      </c>
      <c r="K39" s="475">
        <v>16</v>
      </c>
      <c r="L39" s="476" t="s">
        <v>73</v>
      </c>
      <c r="M39" s="462">
        <v>32</v>
      </c>
      <c r="N39" s="464" t="s">
        <v>69</v>
      </c>
    </row>
    <row r="40" spans="1:14" s="171" customFormat="1" ht="15" customHeight="1">
      <c r="A40" s="2322"/>
      <c r="B40" s="462">
        <v>2</v>
      </c>
      <c r="C40" s="450">
        <v>321</v>
      </c>
      <c r="D40" s="462">
        <v>5</v>
      </c>
      <c r="E40" s="463">
        <v>209</v>
      </c>
      <c r="F40" s="462">
        <v>11</v>
      </c>
      <c r="G40" s="462">
        <v>7</v>
      </c>
      <c r="H40" s="477">
        <v>2</v>
      </c>
      <c r="I40" s="462">
        <v>45</v>
      </c>
      <c r="J40" s="478" t="s">
        <v>305</v>
      </c>
      <c r="K40" s="478">
        <v>13</v>
      </c>
      <c r="L40" s="462">
        <v>12</v>
      </c>
      <c r="M40" s="462">
        <v>16</v>
      </c>
      <c r="N40" s="464">
        <v>1</v>
      </c>
    </row>
    <row r="41" spans="1:14" s="171" customFormat="1" ht="15" customHeight="1">
      <c r="A41" s="2322"/>
      <c r="B41" s="462">
        <v>7</v>
      </c>
      <c r="C41" s="450">
        <v>303</v>
      </c>
      <c r="D41" s="462">
        <v>11</v>
      </c>
      <c r="E41" s="463">
        <v>188</v>
      </c>
      <c r="F41" s="462">
        <v>10</v>
      </c>
      <c r="G41" s="462" t="s">
        <v>69</v>
      </c>
      <c r="H41" s="462" t="s">
        <v>69</v>
      </c>
      <c r="I41" s="462">
        <v>53</v>
      </c>
      <c r="J41" s="478" t="s">
        <v>73</v>
      </c>
      <c r="K41" s="462">
        <v>11</v>
      </c>
      <c r="L41" s="478" t="s">
        <v>73</v>
      </c>
      <c r="M41" s="462">
        <v>27</v>
      </c>
      <c r="N41" s="464">
        <v>3</v>
      </c>
    </row>
    <row r="42" spans="1:14" s="171" customFormat="1" ht="15" customHeight="1">
      <c r="A42" s="2322"/>
      <c r="B42" s="462">
        <v>12</v>
      </c>
      <c r="C42" s="450">
        <v>294</v>
      </c>
      <c r="D42" s="462">
        <v>11</v>
      </c>
      <c r="E42" s="463">
        <v>173</v>
      </c>
      <c r="F42" s="462">
        <v>14</v>
      </c>
      <c r="G42" s="462">
        <v>10</v>
      </c>
      <c r="H42" s="478" t="s">
        <v>73</v>
      </c>
      <c r="I42" s="462">
        <v>39</v>
      </c>
      <c r="J42" s="478" t="s">
        <v>73</v>
      </c>
      <c r="K42" s="462" t="s">
        <v>73</v>
      </c>
      <c r="L42" s="478" t="s">
        <v>73</v>
      </c>
      <c r="M42" s="462">
        <v>47</v>
      </c>
      <c r="N42" s="464" t="s">
        <v>73</v>
      </c>
    </row>
    <row r="43" spans="1:14" s="171" customFormat="1" ht="15" customHeight="1" thickBot="1">
      <c r="A43" s="2324"/>
      <c r="B43" s="469">
        <v>17</v>
      </c>
      <c r="C43" s="452">
        <v>299</v>
      </c>
      <c r="D43" s="469">
        <v>19</v>
      </c>
      <c r="E43" s="470">
        <v>152</v>
      </c>
      <c r="F43" s="469">
        <v>16</v>
      </c>
      <c r="G43" s="469" t="s">
        <v>73</v>
      </c>
      <c r="H43" s="469" t="s">
        <v>73</v>
      </c>
      <c r="I43" s="469">
        <v>57</v>
      </c>
      <c r="J43" s="469" t="s">
        <v>73</v>
      </c>
      <c r="K43" s="469" t="s">
        <v>73</v>
      </c>
      <c r="L43" s="469">
        <v>15</v>
      </c>
      <c r="M43" s="469">
        <v>37</v>
      </c>
      <c r="N43" s="471">
        <v>3</v>
      </c>
    </row>
    <row r="44" spans="1:14" s="171" customFormat="1" ht="18" customHeight="1">
      <c r="A44" s="171" t="s">
        <v>172</v>
      </c>
    </row>
    <row r="46" spans="1:14">
      <c r="A46" s="479"/>
      <c r="B46" s="479"/>
      <c r="C46" s="479"/>
    </row>
  </sheetData>
  <mergeCells count="8">
    <mergeCell ref="A34:A38"/>
    <mergeCell ref="A39:A43"/>
    <mergeCell ref="A4:A11"/>
    <mergeCell ref="A12:A19"/>
    <mergeCell ref="M20:N20"/>
    <mergeCell ref="A22:A26"/>
    <mergeCell ref="A27:A31"/>
    <mergeCell ref="M32:N32"/>
  </mergeCells>
  <phoneticPr fontId="4"/>
  <printOptions horizontalCentered="1"/>
  <pageMargins left="0.51181102362204722" right="0.51181102362204722" top="0.74803149606299213" bottom="0.74803149606299213" header="0.31496062992125984" footer="0.31496062992125984"/>
  <pageSetup paperSize="9" scale="9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5AD85-E1F6-4C13-9D60-445C5CF709F0}">
  <sheetPr codeName="Sheet30">
    <pageSetUpPr fitToPage="1"/>
  </sheetPr>
  <dimension ref="A1:N115"/>
  <sheetViews>
    <sheetView workbookViewId="0"/>
  </sheetViews>
  <sheetFormatPr defaultRowHeight="13.2"/>
  <cols>
    <col min="1" max="1" width="13.19921875" style="454" customWidth="1"/>
    <col min="2" max="2" width="3.19921875" style="454" customWidth="1"/>
    <col min="3" max="13" width="6.3984375" style="454" customWidth="1"/>
    <col min="14" max="14" width="6" style="82" customWidth="1"/>
    <col min="15" max="256" width="9" style="82"/>
    <col min="257" max="257" width="13.19921875" style="82" customWidth="1"/>
    <col min="258" max="258" width="3.19921875" style="82" customWidth="1"/>
    <col min="259" max="269" width="6.3984375" style="82" customWidth="1"/>
    <col min="270" max="270" width="6" style="82" customWidth="1"/>
    <col min="271" max="512" width="9" style="82"/>
    <col min="513" max="513" width="13.19921875" style="82" customWidth="1"/>
    <col min="514" max="514" width="3.19921875" style="82" customWidth="1"/>
    <col min="515" max="525" width="6.3984375" style="82" customWidth="1"/>
    <col min="526" max="526" width="6" style="82" customWidth="1"/>
    <col min="527" max="768" width="9" style="82"/>
    <col min="769" max="769" width="13.19921875" style="82" customWidth="1"/>
    <col min="770" max="770" width="3.19921875" style="82" customWidth="1"/>
    <col min="771" max="781" width="6.3984375" style="82" customWidth="1"/>
    <col min="782" max="782" width="6" style="82" customWidth="1"/>
    <col min="783" max="1024" width="9" style="82"/>
    <col min="1025" max="1025" width="13.19921875" style="82" customWidth="1"/>
    <col min="1026" max="1026" width="3.19921875" style="82" customWidth="1"/>
    <col min="1027" max="1037" width="6.3984375" style="82" customWidth="1"/>
    <col min="1038" max="1038" width="6" style="82" customWidth="1"/>
    <col min="1039" max="1280" width="9" style="82"/>
    <col min="1281" max="1281" width="13.19921875" style="82" customWidth="1"/>
    <col min="1282" max="1282" width="3.19921875" style="82" customWidth="1"/>
    <col min="1283" max="1293" width="6.3984375" style="82" customWidth="1"/>
    <col min="1294" max="1294" width="6" style="82" customWidth="1"/>
    <col min="1295" max="1536" width="9" style="82"/>
    <col min="1537" max="1537" width="13.19921875" style="82" customWidth="1"/>
    <col min="1538" max="1538" width="3.19921875" style="82" customWidth="1"/>
    <col min="1539" max="1549" width="6.3984375" style="82" customWidth="1"/>
    <col min="1550" max="1550" width="6" style="82" customWidth="1"/>
    <col min="1551" max="1792" width="9" style="82"/>
    <col min="1793" max="1793" width="13.19921875" style="82" customWidth="1"/>
    <col min="1794" max="1794" width="3.19921875" style="82" customWidth="1"/>
    <col min="1795" max="1805" width="6.3984375" style="82" customWidth="1"/>
    <col min="1806" max="1806" width="6" style="82" customWidth="1"/>
    <col min="1807" max="2048" width="9" style="82"/>
    <col min="2049" max="2049" width="13.19921875" style="82" customWidth="1"/>
    <col min="2050" max="2050" width="3.19921875" style="82" customWidth="1"/>
    <col min="2051" max="2061" width="6.3984375" style="82" customWidth="1"/>
    <col min="2062" max="2062" width="6" style="82" customWidth="1"/>
    <col min="2063" max="2304" width="9" style="82"/>
    <col min="2305" max="2305" width="13.19921875" style="82" customWidth="1"/>
    <col min="2306" max="2306" width="3.19921875" style="82" customWidth="1"/>
    <col min="2307" max="2317" width="6.3984375" style="82" customWidth="1"/>
    <col min="2318" max="2318" width="6" style="82" customWidth="1"/>
    <col min="2319" max="2560" width="9" style="82"/>
    <col min="2561" max="2561" width="13.19921875" style="82" customWidth="1"/>
    <col min="2562" max="2562" width="3.19921875" style="82" customWidth="1"/>
    <col min="2563" max="2573" width="6.3984375" style="82" customWidth="1"/>
    <col min="2574" max="2574" width="6" style="82" customWidth="1"/>
    <col min="2575" max="2816" width="9" style="82"/>
    <col min="2817" max="2817" width="13.19921875" style="82" customWidth="1"/>
    <col min="2818" max="2818" width="3.19921875" style="82" customWidth="1"/>
    <col min="2819" max="2829" width="6.3984375" style="82" customWidth="1"/>
    <col min="2830" max="2830" width="6" style="82" customWidth="1"/>
    <col min="2831" max="3072" width="9" style="82"/>
    <col min="3073" max="3073" width="13.19921875" style="82" customWidth="1"/>
    <col min="3074" max="3074" width="3.19921875" style="82" customWidth="1"/>
    <col min="3075" max="3085" width="6.3984375" style="82" customWidth="1"/>
    <col min="3086" max="3086" width="6" style="82" customWidth="1"/>
    <col min="3087" max="3328" width="9" style="82"/>
    <col min="3329" max="3329" width="13.19921875" style="82" customWidth="1"/>
    <col min="3330" max="3330" width="3.19921875" style="82" customWidth="1"/>
    <col min="3331" max="3341" width="6.3984375" style="82" customWidth="1"/>
    <col min="3342" max="3342" width="6" style="82" customWidth="1"/>
    <col min="3343" max="3584" width="9" style="82"/>
    <col min="3585" max="3585" width="13.19921875" style="82" customWidth="1"/>
    <col min="3586" max="3586" width="3.19921875" style="82" customWidth="1"/>
    <col min="3587" max="3597" width="6.3984375" style="82" customWidth="1"/>
    <col min="3598" max="3598" width="6" style="82" customWidth="1"/>
    <col min="3599" max="3840" width="9" style="82"/>
    <col min="3841" max="3841" width="13.19921875" style="82" customWidth="1"/>
    <col min="3842" max="3842" width="3.19921875" style="82" customWidth="1"/>
    <col min="3843" max="3853" width="6.3984375" style="82" customWidth="1"/>
    <col min="3854" max="3854" width="6" style="82" customWidth="1"/>
    <col min="3855" max="4096" width="9" style="82"/>
    <col min="4097" max="4097" width="13.19921875" style="82" customWidth="1"/>
    <col min="4098" max="4098" width="3.19921875" style="82" customWidth="1"/>
    <col min="4099" max="4109" width="6.3984375" style="82" customWidth="1"/>
    <col min="4110" max="4110" width="6" style="82" customWidth="1"/>
    <col min="4111" max="4352" width="9" style="82"/>
    <col min="4353" max="4353" width="13.19921875" style="82" customWidth="1"/>
    <col min="4354" max="4354" width="3.19921875" style="82" customWidth="1"/>
    <col min="4355" max="4365" width="6.3984375" style="82" customWidth="1"/>
    <col min="4366" max="4366" width="6" style="82" customWidth="1"/>
    <col min="4367" max="4608" width="9" style="82"/>
    <col min="4609" max="4609" width="13.19921875" style="82" customWidth="1"/>
    <col min="4610" max="4610" width="3.19921875" style="82" customWidth="1"/>
    <col min="4611" max="4621" width="6.3984375" style="82" customWidth="1"/>
    <col min="4622" max="4622" width="6" style="82" customWidth="1"/>
    <col min="4623" max="4864" width="9" style="82"/>
    <col min="4865" max="4865" width="13.19921875" style="82" customWidth="1"/>
    <col min="4866" max="4866" width="3.19921875" style="82" customWidth="1"/>
    <col min="4867" max="4877" width="6.3984375" style="82" customWidth="1"/>
    <col min="4878" max="4878" width="6" style="82" customWidth="1"/>
    <col min="4879" max="5120" width="9" style="82"/>
    <col min="5121" max="5121" width="13.19921875" style="82" customWidth="1"/>
    <col min="5122" max="5122" width="3.19921875" style="82" customWidth="1"/>
    <col min="5123" max="5133" width="6.3984375" style="82" customWidth="1"/>
    <col min="5134" max="5134" width="6" style="82" customWidth="1"/>
    <col min="5135" max="5376" width="9" style="82"/>
    <col min="5377" max="5377" width="13.19921875" style="82" customWidth="1"/>
    <col min="5378" max="5378" width="3.19921875" style="82" customWidth="1"/>
    <col min="5379" max="5389" width="6.3984375" style="82" customWidth="1"/>
    <col min="5390" max="5390" width="6" style="82" customWidth="1"/>
    <col min="5391" max="5632" width="9" style="82"/>
    <col min="5633" max="5633" width="13.19921875" style="82" customWidth="1"/>
    <col min="5634" max="5634" width="3.19921875" style="82" customWidth="1"/>
    <col min="5635" max="5645" width="6.3984375" style="82" customWidth="1"/>
    <col min="5646" max="5646" width="6" style="82" customWidth="1"/>
    <col min="5647" max="5888" width="9" style="82"/>
    <col min="5889" max="5889" width="13.19921875" style="82" customWidth="1"/>
    <col min="5890" max="5890" width="3.19921875" style="82" customWidth="1"/>
    <col min="5891" max="5901" width="6.3984375" style="82" customWidth="1"/>
    <col min="5902" max="5902" width="6" style="82" customWidth="1"/>
    <col min="5903" max="6144" width="9" style="82"/>
    <col min="6145" max="6145" width="13.19921875" style="82" customWidth="1"/>
    <col min="6146" max="6146" width="3.19921875" style="82" customWidth="1"/>
    <col min="6147" max="6157" width="6.3984375" style="82" customWidth="1"/>
    <col min="6158" max="6158" width="6" style="82" customWidth="1"/>
    <col min="6159" max="6400" width="9" style="82"/>
    <col min="6401" max="6401" width="13.19921875" style="82" customWidth="1"/>
    <col min="6402" max="6402" width="3.19921875" style="82" customWidth="1"/>
    <col min="6403" max="6413" width="6.3984375" style="82" customWidth="1"/>
    <col min="6414" max="6414" width="6" style="82" customWidth="1"/>
    <col min="6415" max="6656" width="9" style="82"/>
    <col min="6657" max="6657" width="13.19921875" style="82" customWidth="1"/>
    <col min="6658" max="6658" width="3.19921875" style="82" customWidth="1"/>
    <col min="6659" max="6669" width="6.3984375" style="82" customWidth="1"/>
    <col min="6670" max="6670" width="6" style="82" customWidth="1"/>
    <col min="6671" max="6912" width="9" style="82"/>
    <col min="6913" max="6913" width="13.19921875" style="82" customWidth="1"/>
    <col min="6914" max="6914" width="3.19921875" style="82" customWidth="1"/>
    <col min="6915" max="6925" width="6.3984375" style="82" customWidth="1"/>
    <col min="6926" max="6926" width="6" style="82" customWidth="1"/>
    <col min="6927" max="7168" width="9" style="82"/>
    <col min="7169" max="7169" width="13.19921875" style="82" customWidth="1"/>
    <col min="7170" max="7170" width="3.19921875" style="82" customWidth="1"/>
    <col min="7171" max="7181" width="6.3984375" style="82" customWidth="1"/>
    <col min="7182" max="7182" width="6" style="82" customWidth="1"/>
    <col min="7183" max="7424" width="9" style="82"/>
    <col min="7425" max="7425" width="13.19921875" style="82" customWidth="1"/>
    <col min="7426" max="7426" width="3.19921875" style="82" customWidth="1"/>
    <col min="7427" max="7437" width="6.3984375" style="82" customWidth="1"/>
    <col min="7438" max="7438" width="6" style="82" customWidth="1"/>
    <col min="7439" max="7680" width="9" style="82"/>
    <col min="7681" max="7681" width="13.19921875" style="82" customWidth="1"/>
    <col min="7682" max="7682" width="3.19921875" style="82" customWidth="1"/>
    <col min="7683" max="7693" width="6.3984375" style="82" customWidth="1"/>
    <col min="7694" max="7694" width="6" style="82" customWidth="1"/>
    <col min="7695" max="7936" width="9" style="82"/>
    <col min="7937" max="7937" width="13.19921875" style="82" customWidth="1"/>
    <col min="7938" max="7938" width="3.19921875" style="82" customWidth="1"/>
    <col min="7939" max="7949" width="6.3984375" style="82" customWidth="1"/>
    <col min="7950" max="7950" width="6" style="82" customWidth="1"/>
    <col min="7951" max="8192" width="9" style="82"/>
    <col min="8193" max="8193" width="13.19921875" style="82" customWidth="1"/>
    <col min="8194" max="8194" width="3.19921875" style="82" customWidth="1"/>
    <col min="8195" max="8205" width="6.3984375" style="82" customWidth="1"/>
    <col min="8206" max="8206" width="6" style="82" customWidth="1"/>
    <col min="8207" max="8448" width="9" style="82"/>
    <col min="8449" max="8449" width="13.19921875" style="82" customWidth="1"/>
    <col min="8450" max="8450" width="3.19921875" style="82" customWidth="1"/>
    <col min="8451" max="8461" width="6.3984375" style="82" customWidth="1"/>
    <col min="8462" max="8462" width="6" style="82" customWidth="1"/>
    <col min="8463" max="8704" width="9" style="82"/>
    <col min="8705" max="8705" width="13.19921875" style="82" customWidth="1"/>
    <col min="8706" max="8706" width="3.19921875" style="82" customWidth="1"/>
    <col min="8707" max="8717" width="6.3984375" style="82" customWidth="1"/>
    <col min="8718" max="8718" width="6" style="82" customWidth="1"/>
    <col min="8719" max="8960" width="9" style="82"/>
    <col min="8961" max="8961" width="13.19921875" style="82" customWidth="1"/>
    <col min="8962" max="8962" width="3.19921875" style="82" customWidth="1"/>
    <col min="8963" max="8973" width="6.3984375" style="82" customWidth="1"/>
    <col min="8974" max="8974" width="6" style="82" customWidth="1"/>
    <col min="8975" max="9216" width="9" style="82"/>
    <col min="9217" max="9217" width="13.19921875" style="82" customWidth="1"/>
    <col min="9218" max="9218" width="3.19921875" style="82" customWidth="1"/>
    <col min="9219" max="9229" width="6.3984375" style="82" customWidth="1"/>
    <col min="9230" max="9230" width="6" style="82" customWidth="1"/>
    <col min="9231" max="9472" width="9" style="82"/>
    <col min="9473" max="9473" width="13.19921875" style="82" customWidth="1"/>
    <col min="9474" max="9474" width="3.19921875" style="82" customWidth="1"/>
    <col min="9475" max="9485" width="6.3984375" style="82" customWidth="1"/>
    <col min="9486" max="9486" width="6" style="82" customWidth="1"/>
    <col min="9487" max="9728" width="9" style="82"/>
    <col min="9729" max="9729" width="13.19921875" style="82" customWidth="1"/>
    <col min="9730" max="9730" width="3.19921875" style="82" customWidth="1"/>
    <col min="9731" max="9741" width="6.3984375" style="82" customWidth="1"/>
    <col min="9742" max="9742" width="6" style="82" customWidth="1"/>
    <col min="9743" max="9984" width="9" style="82"/>
    <col min="9985" max="9985" width="13.19921875" style="82" customWidth="1"/>
    <col min="9986" max="9986" width="3.19921875" style="82" customWidth="1"/>
    <col min="9987" max="9997" width="6.3984375" style="82" customWidth="1"/>
    <col min="9998" max="9998" width="6" style="82" customWidth="1"/>
    <col min="9999" max="10240" width="9" style="82"/>
    <col min="10241" max="10241" width="13.19921875" style="82" customWidth="1"/>
    <col min="10242" max="10242" width="3.19921875" style="82" customWidth="1"/>
    <col min="10243" max="10253" width="6.3984375" style="82" customWidth="1"/>
    <col min="10254" max="10254" width="6" style="82" customWidth="1"/>
    <col min="10255" max="10496" width="9" style="82"/>
    <col min="10497" max="10497" width="13.19921875" style="82" customWidth="1"/>
    <col min="10498" max="10498" width="3.19921875" style="82" customWidth="1"/>
    <col min="10499" max="10509" width="6.3984375" style="82" customWidth="1"/>
    <col min="10510" max="10510" width="6" style="82" customWidth="1"/>
    <col min="10511" max="10752" width="9" style="82"/>
    <col min="10753" max="10753" width="13.19921875" style="82" customWidth="1"/>
    <col min="10754" max="10754" width="3.19921875" style="82" customWidth="1"/>
    <col min="10755" max="10765" width="6.3984375" style="82" customWidth="1"/>
    <col min="10766" max="10766" width="6" style="82" customWidth="1"/>
    <col min="10767" max="11008" width="9" style="82"/>
    <col min="11009" max="11009" width="13.19921875" style="82" customWidth="1"/>
    <col min="11010" max="11010" width="3.19921875" style="82" customWidth="1"/>
    <col min="11011" max="11021" width="6.3984375" style="82" customWidth="1"/>
    <col min="11022" max="11022" width="6" style="82" customWidth="1"/>
    <col min="11023" max="11264" width="9" style="82"/>
    <col min="11265" max="11265" width="13.19921875" style="82" customWidth="1"/>
    <col min="11266" max="11266" width="3.19921875" style="82" customWidth="1"/>
    <col min="11267" max="11277" width="6.3984375" style="82" customWidth="1"/>
    <col min="11278" max="11278" width="6" style="82" customWidth="1"/>
    <col min="11279" max="11520" width="9" style="82"/>
    <col min="11521" max="11521" width="13.19921875" style="82" customWidth="1"/>
    <col min="11522" max="11522" width="3.19921875" style="82" customWidth="1"/>
    <col min="11523" max="11533" width="6.3984375" style="82" customWidth="1"/>
    <col min="11534" max="11534" width="6" style="82" customWidth="1"/>
    <col min="11535" max="11776" width="9" style="82"/>
    <col min="11777" max="11777" width="13.19921875" style="82" customWidth="1"/>
    <col min="11778" max="11778" width="3.19921875" style="82" customWidth="1"/>
    <col min="11779" max="11789" width="6.3984375" style="82" customWidth="1"/>
    <col min="11790" max="11790" width="6" style="82" customWidth="1"/>
    <col min="11791" max="12032" width="9" style="82"/>
    <col min="12033" max="12033" width="13.19921875" style="82" customWidth="1"/>
    <col min="12034" max="12034" width="3.19921875" style="82" customWidth="1"/>
    <col min="12035" max="12045" width="6.3984375" style="82" customWidth="1"/>
    <col min="12046" max="12046" width="6" style="82" customWidth="1"/>
    <col min="12047" max="12288" width="9" style="82"/>
    <col min="12289" max="12289" width="13.19921875" style="82" customWidth="1"/>
    <col min="12290" max="12290" width="3.19921875" style="82" customWidth="1"/>
    <col min="12291" max="12301" width="6.3984375" style="82" customWidth="1"/>
    <col min="12302" max="12302" width="6" style="82" customWidth="1"/>
    <col min="12303" max="12544" width="9" style="82"/>
    <col min="12545" max="12545" width="13.19921875" style="82" customWidth="1"/>
    <col min="12546" max="12546" width="3.19921875" style="82" customWidth="1"/>
    <col min="12547" max="12557" width="6.3984375" style="82" customWidth="1"/>
    <col min="12558" max="12558" width="6" style="82" customWidth="1"/>
    <col min="12559" max="12800" width="9" style="82"/>
    <col min="12801" max="12801" width="13.19921875" style="82" customWidth="1"/>
    <col min="12802" max="12802" width="3.19921875" style="82" customWidth="1"/>
    <col min="12803" max="12813" width="6.3984375" style="82" customWidth="1"/>
    <col min="12814" max="12814" width="6" style="82" customWidth="1"/>
    <col min="12815" max="13056" width="9" style="82"/>
    <col min="13057" max="13057" width="13.19921875" style="82" customWidth="1"/>
    <col min="13058" max="13058" width="3.19921875" style="82" customWidth="1"/>
    <col min="13059" max="13069" width="6.3984375" style="82" customWidth="1"/>
    <col min="13070" max="13070" width="6" style="82" customWidth="1"/>
    <col min="13071" max="13312" width="9" style="82"/>
    <col min="13313" max="13313" width="13.19921875" style="82" customWidth="1"/>
    <col min="13314" max="13314" width="3.19921875" style="82" customWidth="1"/>
    <col min="13315" max="13325" width="6.3984375" style="82" customWidth="1"/>
    <col min="13326" max="13326" width="6" style="82" customWidth="1"/>
    <col min="13327" max="13568" width="9" style="82"/>
    <col min="13569" max="13569" width="13.19921875" style="82" customWidth="1"/>
    <col min="13570" max="13570" width="3.19921875" style="82" customWidth="1"/>
    <col min="13571" max="13581" width="6.3984375" style="82" customWidth="1"/>
    <col min="13582" max="13582" width="6" style="82" customWidth="1"/>
    <col min="13583" max="13824" width="9" style="82"/>
    <col min="13825" max="13825" width="13.19921875" style="82" customWidth="1"/>
    <col min="13826" max="13826" width="3.19921875" style="82" customWidth="1"/>
    <col min="13827" max="13837" width="6.3984375" style="82" customWidth="1"/>
    <col min="13838" max="13838" width="6" style="82" customWidth="1"/>
    <col min="13839" max="14080" width="9" style="82"/>
    <col min="14081" max="14081" width="13.19921875" style="82" customWidth="1"/>
    <col min="14082" max="14082" width="3.19921875" style="82" customWidth="1"/>
    <col min="14083" max="14093" width="6.3984375" style="82" customWidth="1"/>
    <col min="14094" max="14094" width="6" style="82" customWidth="1"/>
    <col min="14095" max="14336" width="9" style="82"/>
    <col min="14337" max="14337" width="13.19921875" style="82" customWidth="1"/>
    <col min="14338" max="14338" width="3.19921875" style="82" customWidth="1"/>
    <col min="14339" max="14349" width="6.3984375" style="82" customWidth="1"/>
    <col min="14350" max="14350" width="6" style="82" customWidth="1"/>
    <col min="14351" max="14592" width="9" style="82"/>
    <col min="14593" max="14593" width="13.19921875" style="82" customWidth="1"/>
    <col min="14594" max="14594" width="3.19921875" style="82" customWidth="1"/>
    <col min="14595" max="14605" width="6.3984375" style="82" customWidth="1"/>
    <col min="14606" max="14606" width="6" style="82" customWidth="1"/>
    <col min="14607" max="14848" width="9" style="82"/>
    <col min="14849" max="14849" width="13.19921875" style="82" customWidth="1"/>
    <col min="14850" max="14850" width="3.19921875" style="82" customWidth="1"/>
    <col min="14851" max="14861" width="6.3984375" style="82" customWidth="1"/>
    <col min="14862" max="14862" width="6" style="82" customWidth="1"/>
    <col min="14863" max="15104" width="9" style="82"/>
    <col min="15105" max="15105" width="13.19921875" style="82" customWidth="1"/>
    <col min="15106" max="15106" width="3.19921875" style="82" customWidth="1"/>
    <col min="15107" max="15117" width="6.3984375" style="82" customWidth="1"/>
    <col min="15118" max="15118" width="6" style="82" customWidth="1"/>
    <col min="15119" max="15360" width="9" style="82"/>
    <col min="15361" max="15361" width="13.19921875" style="82" customWidth="1"/>
    <col min="15362" max="15362" width="3.19921875" style="82" customWidth="1"/>
    <col min="15363" max="15373" width="6.3984375" style="82" customWidth="1"/>
    <col min="15374" max="15374" width="6" style="82" customWidth="1"/>
    <col min="15375" max="15616" width="9" style="82"/>
    <col min="15617" max="15617" width="13.19921875" style="82" customWidth="1"/>
    <col min="15618" max="15618" width="3.19921875" style="82" customWidth="1"/>
    <col min="15619" max="15629" width="6.3984375" style="82" customWidth="1"/>
    <col min="15630" max="15630" width="6" style="82" customWidth="1"/>
    <col min="15631" max="15872" width="9" style="82"/>
    <col min="15873" max="15873" width="13.19921875" style="82" customWidth="1"/>
    <col min="15874" max="15874" width="3.19921875" style="82" customWidth="1"/>
    <col min="15875" max="15885" width="6.3984375" style="82" customWidth="1"/>
    <col min="15886" max="15886" width="6" style="82" customWidth="1"/>
    <col min="15887" max="16128" width="9" style="82"/>
    <col min="16129" max="16129" width="13.19921875" style="82" customWidth="1"/>
    <col min="16130" max="16130" width="3.19921875" style="82" customWidth="1"/>
    <col min="16131" max="16141" width="6.3984375" style="82" customWidth="1"/>
    <col min="16142" max="16142" width="6" style="82" customWidth="1"/>
    <col min="16143" max="16384" width="9" style="82"/>
  </cols>
  <sheetData>
    <row r="1" spans="1:14" ht="30" customHeight="1" thickBot="1">
      <c r="A1" s="453" t="s">
        <v>562</v>
      </c>
      <c r="B1" s="453"/>
      <c r="C1" s="453"/>
      <c r="D1" s="453"/>
      <c r="E1" s="453"/>
      <c r="F1" s="453"/>
      <c r="G1" s="453"/>
      <c r="M1" s="474" t="s">
        <v>200</v>
      </c>
    </row>
    <row r="2" spans="1:14" s="11" customFormat="1" ht="30" customHeight="1">
      <c r="A2" s="484" t="s">
        <v>532</v>
      </c>
      <c r="B2" s="458" t="s">
        <v>518</v>
      </c>
      <c r="C2" s="458" t="s">
        <v>282</v>
      </c>
      <c r="D2" s="458" t="s">
        <v>534</v>
      </c>
      <c r="E2" s="458" t="s">
        <v>535</v>
      </c>
      <c r="F2" s="458" t="s">
        <v>536</v>
      </c>
      <c r="G2" s="458" t="s">
        <v>537</v>
      </c>
      <c r="H2" s="458" t="s">
        <v>538</v>
      </c>
      <c r="I2" s="458" t="s">
        <v>539</v>
      </c>
      <c r="J2" s="458" t="s">
        <v>540</v>
      </c>
      <c r="K2" s="460" t="s">
        <v>563</v>
      </c>
      <c r="L2" s="460" t="s">
        <v>550</v>
      </c>
      <c r="M2" s="461" t="s">
        <v>564</v>
      </c>
    </row>
    <row r="3" spans="1:14" s="11" customFormat="1" ht="15" customHeight="1">
      <c r="A3" s="2321" t="s">
        <v>565</v>
      </c>
      <c r="B3" s="462">
        <v>60</v>
      </c>
      <c r="C3" s="462">
        <v>663</v>
      </c>
      <c r="D3" s="462">
        <v>1</v>
      </c>
      <c r="E3" s="462">
        <v>135</v>
      </c>
      <c r="F3" s="462">
        <v>117</v>
      </c>
      <c r="G3" s="462">
        <v>30</v>
      </c>
      <c r="H3" s="462">
        <v>37</v>
      </c>
      <c r="I3" s="462">
        <v>90</v>
      </c>
      <c r="J3" s="462">
        <v>44</v>
      </c>
      <c r="K3" s="462">
        <v>185</v>
      </c>
      <c r="L3" s="462">
        <v>22</v>
      </c>
      <c r="M3" s="485">
        <v>2</v>
      </c>
      <c r="N3" s="448"/>
    </row>
    <row r="4" spans="1:14" s="11" customFormat="1" ht="15" customHeight="1">
      <c r="A4" s="2325"/>
      <c r="B4" s="462">
        <v>2</v>
      </c>
      <c r="C4" s="462">
        <v>701</v>
      </c>
      <c r="D4" s="462">
        <v>4</v>
      </c>
      <c r="E4" s="462">
        <v>137</v>
      </c>
      <c r="F4" s="462">
        <v>147</v>
      </c>
      <c r="G4" s="462">
        <v>17</v>
      </c>
      <c r="H4" s="462">
        <v>28</v>
      </c>
      <c r="I4" s="462">
        <v>98</v>
      </c>
      <c r="J4" s="462">
        <v>34</v>
      </c>
      <c r="K4" s="462">
        <v>234</v>
      </c>
      <c r="L4" s="462">
        <v>2</v>
      </c>
      <c r="M4" s="486" t="s">
        <v>431</v>
      </c>
      <c r="N4" s="448"/>
    </row>
    <row r="5" spans="1:14" s="11" customFormat="1" ht="15" customHeight="1">
      <c r="A5" s="2325"/>
      <c r="B5" s="462">
        <v>7</v>
      </c>
      <c r="C5" s="462">
        <v>594</v>
      </c>
      <c r="D5" s="462">
        <v>5</v>
      </c>
      <c r="E5" s="462">
        <v>109</v>
      </c>
      <c r="F5" s="462">
        <v>109</v>
      </c>
      <c r="G5" s="462">
        <v>11</v>
      </c>
      <c r="H5" s="462">
        <v>29</v>
      </c>
      <c r="I5" s="462">
        <v>110</v>
      </c>
      <c r="J5" s="462">
        <v>33</v>
      </c>
      <c r="K5" s="462">
        <v>179</v>
      </c>
      <c r="L5" s="462">
        <v>9</v>
      </c>
      <c r="M5" s="485" t="s">
        <v>431</v>
      </c>
      <c r="N5" s="448"/>
    </row>
    <row r="6" spans="1:14" s="11" customFormat="1" ht="15" customHeight="1">
      <c r="A6" s="2325"/>
      <c r="B6" s="462">
        <v>12</v>
      </c>
      <c r="C6" s="462">
        <v>411</v>
      </c>
      <c r="D6" s="462">
        <v>2</v>
      </c>
      <c r="E6" s="462">
        <v>53</v>
      </c>
      <c r="F6" s="462">
        <v>79</v>
      </c>
      <c r="G6" s="462">
        <v>10</v>
      </c>
      <c r="H6" s="462">
        <v>27</v>
      </c>
      <c r="I6" s="462">
        <v>95</v>
      </c>
      <c r="J6" s="462">
        <v>37</v>
      </c>
      <c r="K6" s="462">
        <v>103</v>
      </c>
      <c r="L6" s="462">
        <v>3</v>
      </c>
      <c r="M6" s="485">
        <v>2</v>
      </c>
      <c r="N6" s="448"/>
    </row>
    <row r="7" spans="1:14" s="11" customFormat="1" ht="15" customHeight="1">
      <c r="A7" s="2325"/>
      <c r="B7" s="462">
        <v>17</v>
      </c>
      <c r="C7" s="463">
        <f>SUM(D7:M7)</f>
        <v>440</v>
      </c>
      <c r="D7" s="462">
        <v>3</v>
      </c>
      <c r="E7" s="462">
        <v>56</v>
      </c>
      <c r="F7" s="462">
        <v>76</v>
      </c>
      <c r="G7" s="462">
        <v>15</v>
      </c>
      <c r="H7" s="462">
        <v>15</v>
      </c>
      <c r="I7" s="462">
        <v>110</v>
      </c>
      <c r="J7" s="462">
        <v>33</v>
      </c>
      <c r="K7" s="462">
        <v>127</v>
      </c>
      <c r="L7" s="462">
        <v>5</v>
      </c>
      <c r="M7" s="485" t="s">
        <v>431</v>
      </c>
      <c r="N7" s="448"/>
    </row>
    <row r="8" spans="1:14" s="11" customFormat="1" ht="15" customHeight="1">
      <c r="A8" s="2325"/>
      <c r="B8" s="462">
        <v>22</v>
      </c>
      <c r="C8" s="463">
        <v>425</v>
      </c>
      <c r="D8" s="462">
        <v>3</v>
      </c>
      <c r="E8" s="462">
        <v>85</v>
      </c>
      <c r="F8" s="462">
        <v>79</v>
      </c>
      <c r="G8" s="462" t="s">
        <v>431</v>
      </c>
      <c r="H8" s="462" t="s">
        <v>431</v>
      </c>
      <c r="I8" s="462">
        <v>75</v>
      </c>
      <c r="J8" s="462">
        <v>22</v>
      </c>
      <c r="K8" s="462">
        <v>156</v>
      </c>
      <c r="L8" s="462">
        <v>5</v>
      </c>
      <c r="M8" s="485" t="s">
        <v>431</v>
      </c>
      <c r="N8" s="448"/>
    </row>
    <row r="9" spans="1:14" s="11" customFormat="1" ht="15" customHeight="1">
      <c r="A9" s="2325"/>
      <c r="B9" s="462">
        <v>27</v>
      </c>
      <c r="C9" s="463">
        <v>343</v>
      </c>
      <c r="D9" s="462">
        <v>8</v>
      </c>
      <c r="E9" s="462">
        <v>43</v>
      </c>
      <c r="F9" s="462">
        <v>69</v>
      </c>
      <c r="G9" s="462" t="s">
        <v>431</v>
      </c>
      <c r="H9" s="462" t="s">
        <v>431</v>
      </c>
      <c r="I9" s="462">
        <v>57</v>
      </c>
      <c r="J9" s="462">
        <v>34</v>
      </c>
      <c r="K9" s="462">
        <v>129</v>
      </c>
      <c r="L9" s="462">
        <v>3</v>
      </c>
      <c r="M9" s="485" t="s">
        <v>431</v>
      </c>
      <c r="N9" s="448"/>
    </row>
    <row r="10" spans="1:14" s="11" customFormat="1" ht="15" customHeight="1">
      <c r="A10" s="2323"/>
      <c r="B10" s="466">
        <v>2</v>
      </c>
      <c r="C10" s="467">
        <v>364</v>
      </c>
      <c r="D10" s="466">
        <v>12</v>
      </c>
      <c r="E10" s="466">
        <v>43</v>
      </c>
      <c r="F10" s="466">
        <v>86</v>
      </c>
      <c r="G10" s="466" t="s">
        <v>305</v>
      </c>
      <c r="H10" s="466" t="s">
        <v>305</v>
      </c>
      <c r="I10" s="466">
        <v>40</v>
      </c>
      <c r="J10" s="466">
        <v>21</v>
      </c>
      <c r="K10" s="466">
        <v>157</v>
      </c>
      <c r="L10" s="466">
        <v>5</v>
      </c>
      <c r="M10" s="487">
        <v>1</v>
      </c>
      <c r="N10" s="448"/>
    </row>
    <row r="11" spans="1:14" s="11" customFormat="1" ht="15" customHeight="1">
      <c r="A11" s="2321" t="s">
        <v>566</v>
      </c>
      <c r="B11" s="462">
        <v>60</v>
      </c>
      <c r="C11" s="462">
        <v>457</v>
      </c>
      <c r="D11" s="462">
        <v>224</v>
      </c>
      <c r="E11" s="462">
        <v>106</v>
      </c>
      <c r="F11" s="462" t="s">
        <v>431</v>
      </c>
      <c r="G11" s="462" t="s">
        <v>431</v>
      </c>
      <c r="H11" s="488" t="s">
        <v>431</v>
      </c>
      <c r="I11" s="463">
        <v>31</v>
      </c>
      <c r="J11" s="463" t="s">
        <v>431</v>
      </c>
      <c r="K11" s="462">
        <f>66+19</f>
        <v>85</v>
      </c>
      <c r="L11" s="462">
        <v>11</v>
      </c>
      <c r="M11" s="485" t="s">
        <v>431</v>
      </c>
      <c r="N11" s="448"/>
    </row>
    <row r="12" spans="1:14" s="11" customFormat="1" ht="15" customHeight="1">
      <c r="A12" s="2325"/>
      <c r="B12" s="462">
        <v>2</v>
      </c>
      <c r="C12" s="462">
        <v>541</v>
      </c>
      <c r="D12" s="462">
        <v>193</v>
      </c>
      <c r="E12" s="462">
        <v>177</v>
      </c>
      <c r="F12" s="462" t="s">
        <v>431</v>
      </c>
      <c r="G12" s="462" t="s">
        <v>431</v>
      </c>
      <c r="H12" s="462" t="s">
        <v>431</v>
      </c>
      <c r="I12" s="462">
        <v>12</v>
      </c>
      <c r="J12" s="462" t="s">
        <v>431</v>
      </c>
      <c r="K12" s="462">
        <f>112+32</f>
        <v>144</v>
      </c>
      <c r="L12" s="462">
        <v>15</v>
      </c>
      <c r="M12" s="485" t="s">
        <v>431</v>
      </c>
      <c r="N12" s="448"/>
    </row>
    <row r="13" spans="1:14" s="11" customFormat="1" ht="15" customHeight="1">
      <c r="A13" s="2325"/>
      <c r="B13" s="462">
        <v>7</v>
      </c>
      <c r="C13" s="462">
        <v>680</v>
      </c>
      <c r="D13" s="462">
        <v>292</v>
      </c>
      <c r="E13" s="462">
        <v>133</v>
      </c>
      <c r="F13" s="462" t="s">
        <v>431</v>
      </c>
      <c r="G13" s="462" t="s">
        <v>431</v>
      </c>
      <c r="H13" s="462" t="s">
        <v>431</v>
      </c>
      <c r="I13" s="462">
        <v>59</v>
      </c>
      <c r="J13" s="462" t="s">
        <v>431</v>
      </c>
      <c r="K13" s="462">
        <v>145</v>
      </c>
      <c r="L13" s="462">
        <v>38</v>
      </c>
      <c r="M13" s="485">
        <v>13</v>
      </c>
      <c r="N13" s="448"/>
    </row>
    <row r="14" spans="1:14" s="11" customFormat="1" ht="15" customHeight="1">
      <c r="A14" s="2325"/>
      <c r="B14" s="462">
        <v>12</v>
      </c>
      <c r="C14" s="462">
        <v>592</v>
      </c>
      <c r="D14" s="462">
        <v>270</v>
      </c>
      <c r="E14" s="462">
        <v>95</v>
      </c>
      <c r="F14" s="462">
        <v>1</v>
      </c>
      <c r="G14" s="462" t="s">
        <v>431</v>
      </c>
      <c r="H14" s="462" t="s">
        <v>431</v>
      </c>
      <c r="I14" s="462">
        <v>29</v>
      </c>
      <c r="J14" s="462" t="s">
        <v>431</v>
      </c>
      <c r="K14" s="462">
        <v>141</v>
      </c>
      <c r="L14" s="462">
        <v>49</v>
      </c>
      <c r="M14" s="485">
        <v>7</v>
      </c>
      <c r="N14" s="448"/>
    </row>
    <row r="15" spans="1:14" s="11" customFormat="1" ht="15" customHeight="1">
      <c r="A15" s="2325"/>
      <c r="B15" s="462">
        <v>17</v>
      </c>
      <c r="C15" s="463">
        <f>SUM(D15:M15)</f>
        <v>562</v>
      </c>
      <c r="D15" s="462">
        <v>244</v>
      </c>
      <c r="E15" s="462">
        <v>67</v>
      </c>
      <c r="F15" s="462">
        <v>1</v>
      </c>
      <c r="G15" s="462" t="s">
        <v>431</v>
      </c>
      <c r="H15" s="462" t="s">
        <v>431</v>
      </c>
      <c r="I15" s="462">
        <v>20</v>
      </c>
      <c r="J15" s="462" t="s">
        <v>431</v>
      </c>
      <c r="K15" s="462">
        <v>141</v>
      </c>
      <c r="L15" s="462">
        <v>60</v>
      </c>
      <c r="M15" s="485">
        <v>29</v>
      </c>
      <c r="N15" s="448"/>
    </row>
    <row r="16" spans="1:14" s="11" customFormat="1" ht="15" customHeight="1">
      <c r="A16" s="2325"/>
      <c r="B16" s="462">
        <v>22</v>
      </c>
      <c r="C16" s="463">
        <v>574</v>
      </c>
      <c r="D16" s="462">
        <v>252</v>
      </c>
      <c r="E16" s="462">
        <v>66</v>
      </c>
      <c r="F16" s="462">
        <v>2</v>
      </c>
      <c r="G16" s="462" t="s">
        <v>431</v>
      </c>
      <c r="H16" s="462" t="s">
        <v>431</v>
      </c>
      <c r="I16" s="462">
        <v>45</v>
      </c>
      <c r="J16" s="462" t="s">
        <v>431</v>
      </c>
      <c r="K16" s="462">
        <v>141</v>
      </c>
      <c r="L16" s="462">
        <v>41</v>
      </c>
      <c r="M16" s="485">
        <v>27</v>
      </c>
      <c r="N16" s="448"/>
    </row>
    <row r="17" spans="1:14" s="11" customFormat="1" ht="15" customHeight="1">
      <c r="A17" s="2325"/>
      <c r="B17" s="462">
        <v>27</v>
      </c>
      <c r="C17" s="463">
        <v>649</v>
      </c>
      <c r="D17" s="462">
        <v>312</v>
      </c>
      <c r="E17" s="462">
        <v>88</v>
      </c>
      <c r="F17" s="462" t="s">
        <v>431</v>
      </c>
      <c r="G17" s="462" t="s">
        <v>431</v>
      </c>
      <c r="H17" s="462" t="s">
        <v>431</v>
      </c>
      <c r="I17" s="462">
        <v>43</v>
      </c>
      <c r="J17" s="462" t="s">
        <v>431</v>
      </c>
      <c r="K17" s="462">
        <v>112</v>
      </c>
      <c r="L17" s="462">
        <v>46</v>
      </c>
      <c r="M17" s="485">
        <v>48</v>
      </c>
      <c r="N17" s="448"/>
    </row>
    <row r="18" spans="1:14" s="11" customFormat="1" ht="15" customHeight="1" thickBot="1">
      <c r="A18" s="2324"/>
      <c r="B18" s="469">
        <v>2</v>
      </c>
      <c r="C18" s="470">
        <v>402</v>
      </c>
      <c r="D18" s="469">
        <v>224</v>
      </c>
      <c r="E18" s="469">
        <v>52</v>
      </c>
      <c r="F18" s="469">
        <v>1</v>
      </c>
      <c r="G18" s="469" t="s">
        <v>305</v>
      </c>
      <c r="H18" s="469" t="s">
        <v>305</v>
      </c>
      <c r="I18" s="469">
        <v>19</v>
      </c>
      <c r="J18" s="469" t="s">
        <v>305</v>
      </c>
      <c r="K18" s="469">
        <v>66</v>
      </c>
      <c r="L18" s="469">
        <v>40</v>
      </c>
      <c r="M18" s="489">
        <v>51</v>
      </c>
      <c r="N18" s="448"/>
    </row>
    <row r="19" spans="1:14" ht="16.5" customHeight="1" thickBot="1">
      <c r="A19" s="490"/>
      <c r="B19" s="491"/>
      <c r="C19" s="491"/>
      <c r="D19" s="492"/>
      <c r="E19" s="491"/>
      <c r="F19" s="492"/>
      <c r="G19" s="491"/>
      <c r="H19" s="491"/>
      <c r="I19" s="493"/>
      <c r="J19" s="492"/>
      <c r="K19" s="493" t="s">
        <v>200</v>
      </c>
      <c r="L19" s="494"/>
      <c r="M19" s="494"/>
      <c r="N19" s="13"/>
    </row>
    <row r="20" spans="1:14" s="11" customFormat="1" ht="30" customHeight="1">
      <c r="A20" s="495" t="s">
        <v>546</v>
      </c>
      <c r="B20" s="458" t="s">
        <v>518</v>
      </c>
      <c r="C20" s="458" t="s">
        <v>282</v>
      </c>
      <c r="D20" s="458" t="s">
        <v>567</v>
      </c>
      <c r="E20" s="458" t="s">
        <v>534</v>
      </c>
      <c r="F20" s="458" t="s">
        <v>260</v>
      </c>
      <c r="G20" s="458" t="s">
        <v>535</v>
      </c>
      <c r="H20" s="460" t="s">
        <v>568</v>
      </c>
      <c r="I20" s="460" t="s">
        <v>563</v>
      </c>
      <c r="J20" s="496" t="s">
        <v>550</v>
      </c>
      <c r="K20" s="461" t="s">
        <v>564</v>
      </c>
      <c r="L20" s="171"/>
      <c r="M20" s="171"/>
    </row>
    <row r="21" spans="1:14" s="11" customFormat="1" ht="15" customHeight="1">
      <c r="A21" s="2321" t="s">
        <v>569</v>
      </c>
      <c r="B21" s="462">
        <v>60</v>
      </c>
      <c r="C21" s="462">
        <v>77</v>
      </c>
      <c r="D21" s="462">
        <v>3</v>
      </c>
      <c r="E21" s="462">
        <v>10</v>
      </c>
      <c r="F21" s="463">
        <v>30</v>
      </c>
      <c r="G21" s="462">
        <v>12</v>
      </c>
      <c r="H21" s="462">
        <v>18</v>
      </c>
      <c r="I21" s="478" t="s">
        <v>73</v>
      </c>
      <c r="J21" s="478">
        <v>4</v>
      </c>
      <c r="K21" s="480" t="s">
        <v>305</v>
      </c>
      <c r="L21" s="497"/>
      <c r="M21" s="171"/>
    </row>
    <row r="22" spans="1:14" s="11" customFormat="1" ht="15" customHeight="1">
      <c r="A22" s="2322"/>
      <c r="B22" s="462">
        <v>2</v>
      </c>
      <c r="C22" s="462">
        <v>37</v>
      </c>
      <c r="D22" s="462">
        <v>1</v>
      </c>
      <c r="E22" s="462">
        <v>9</v>
      </c>
      <c r="F22" s="463">
        <v>17</v>
      </c>
      <c r="G22" s="462">
        <v>2</v>
      </c>
      <c r="H22" s="462">
        <v>8</v>
      </c>
      <c r="I22" s="480" t="s">
        <v>305</v>
      </c>
      <c r="J22" s="480" t="s">
        <v>305</v>
      </c>
      <c r="K22" s="480" t="s">
        <v>305</v>
      </c>
      <c r="L22" s="497"/>
      <c r="M22" s="171"/>
    </row>
    <row r="23" spans="1:14" s="11" customFormat="1" ht="15" customHeight="1">
      <c r="A23" s="2322"/>
      <c r="B23" s="462">
        <v>7</v>
      </c>
      <c r="C23" s="462">
        <v>43</v>
      </c>
      <c r="D23" s="462">
        <v>8</v>
      </c>
      <c r="E23" s="462">
        <v>13</v>
      </c>
      <c r="F23" s="463">
        <v>11</v>
      </c>
      <c r="G23" s="462">
        <v>4</v>
      </c>
      <c r="H23" s="462">
        <v>5</v>
      </c>
      <c r="I23" s="478">
        <v>2</v>
      </c>
      <c r="J23" s="480" t="s">
        <v>305</v>
      </c>
      <c r="K23" s="480" t="s">
        <v>305</v>
      </c>
      <c r="L23" s="497"/>
      <c r="M23" s="171"/>
    </row>
    <row r="24" spans="1:14" s="11" customFormat="1" ht="15" customHeight="1">
      <c r="A24" s="2322"/>
      <c r="B24" s="462">
        <v>12</v>
      </c>
      <c r="C24" s="462">
        <v>45</v>
      </c>
      <c r="D24" s="462">
        <v>6</v>
      </c>
      <c r="E24" s="462">
        <v>12</v>
      </c>
      <c r="F24" s="463">
        <v>10</v>
      </c>
      <c r="G24" s="462">
        <v>5</v>
      </c>
      <c r="H24" s="462">
        <v>4</v>
      </c>
      <c r="I24" s="478" t="s">
        <v>73</v>
      </c>
      <c r="J24" s="478">
        <v>7</v>
      </c>
      <c r="K24" s="480">
        <v>1</v>
      </c>
      <c r="L24" s="497"/>
      <c r="M24" s="171"/>
    </row>
    <row r="25" spans="1:14" s="11" customFormat="1" ht="15" customHeight="1" thickBot="1">
      <c r="A25" s="2328"/>
      <c r="B25" s="469">
        <v>17</v>
      </c>
      <c r="C25" s="469">
        <f>SUM(D25:K25)</f>
        <v>47</v>
      </c>
      <c r="D25" s="469">
        <v>8</v>
      </c>
      <c r="E25" s="469">
        <v>12</v>
      </c>
      <c r="F25" s="470">
        <v>15</v>
      </c>
      <c r="G25" s="469">
        <v>4</v>
      </c>
      <c r="H25" s="469">
        <v>1</v>
      </c>
      <c r="I25" s="498">
        <v>4</v>
      </c>
      <c r="J25" s="498">
        <v>3</v>
      </c>
      <c r="K25" s="437" t="s">
        <v>431</v>
      </c>
      <c r="L25" s="497"/>
      <c r="M25" s="171"/>
    </row>
    <row r="26" spans="1:14" s="11" customFormat="1" ht="18" customHeight="1" thickBot="1">
      <c r="A26" s="490"/>
      <c r="B26" s="491"/>
      <c r="C26" s="491"/>
      <c r="D26" s="491"/>
      <c r="E26" s="491"/>
      <c r="F26" s="491"/>
      <c r="G26" s="492"/>
      <c r="H26" s="492"/>
      <c r="I26" s="492"/>
      <c r="J26" s="493"/>
      <c r="K26" s="493" t="s">
        <v>200</v>
      </c>
      <c r="L26" s="171"/>
      <c r="M26" s="171"/>
    </row>
    <row r="27" spans="1:14" s="11" customFormat="1" ht="30" customHeight="1">
      <c r="A27" s="495" t="s">
        <v>553</v>
      </c>
      <c r="B27" s="458" t="s">
        <v>518</v>
      </c>
      <c r="C27" s="458" t="s">
        <v>570</v>
      </c>
      <c r="D27" s="458" t="s">
        <v>567</v>
      </c>
      <c r="E27" s="458" t="s">
        <v>555</v>
      </c>
      <c r="F27" s="458" t="s">
        <v>556</v>
      </c>
      <c r="G27" s="458" t="s">
        <v>557</v>
      </c>
      <c r="H27" s="458" t="s">
        <v>548</v>
      </c>
      <c r="I27" s="460" t="s">
        <v>563</v>
      </c>
      <c r="J27" s="496" t="s">
        <v>550</v>
      </c>
      <c r="K27" s="461" t="s">
        <v>564</v>
      </c>
      <c r="L27" s="171"/>
      <c r="M27" s="171"/>
    </row>
    <row r="28" spans="1:14" s="11" customFormat="1" ht="18" customHeight="1">
      <c r="A28" s="2321" t="s">
        <v>571</v>
      </c>
      <c r="B28" s="462">
        <v>60</v>
      </c>
      <c r="C28" s="450" t="s">
        <v>305</v>
      </c>
      <c r="D28" s="450" t="s">
        <v>305</v>
      </c>
      <c r="E28" s="450" t="s">
        <v>305</v>
      </c>
      <c r="F28" s="450" t="s">
        <v>305</v>
      </c>
      <c r="G28" s="450" t="s">
        <v>305</v>
      </c>
      <c r="H28" s="450" t="s">
        <v>305</v>
      </c>
      <c r="I28" s="450" t="s">
        <v>305</v>
      </c>
      <c r="J28" s="480" t="s">
        <v>305</v>
      </c>
      <c r="K28" s="480" t="s">
        <v>305</v>
      </c>
      <c r="L28" s="171"/>
      <c r="M28" s="171"/>
    </row>
    <row r="29" spans="1:14" s="11" customFormat="1" ht="18" customHeight="1">
      <c r="A29" s="2322"/>
      <c r="B29" s="462">
        <v>2</v>
      </c>
      <c r="C29" s="450" t="s">
        <v>305</v>
      </c>
      <c r="D29" s="450" t="s">
        <v>305</v>
      </c>
      <c r="E29" s="450" t="s">
        <v>305</v>
      </c>
      <c r="F29" s="450" t="s">
        <v>305</v>
      </c>
      <c r="G29" s="450" t="s">
        <v>305</v>
      </c>
      <c r="H29" s="450" t="s">
        <v>305</v>
      </c>
      <c r="I29" s="450" t="s">
        <v>305</v>
      </c>
      <c r="J29" s="480" t="s">
        <v>305</v>
      </c>
      <c r="K29" s="480" t="s">
        <v>305</v>
      </c>
      <c r="L29" s="171"/>
      <c r="M29" s="171"/>
    </row>
    <row r="30" spans="1:14" s="11" customFormat="1" ht="18" customHeight="1">
      <c r="A30" s="2322"/>
      <c r="B30" s="462">
        <v>7</v>
      </c>
      <c r="C30" s="450" t="s">
        <v>305</v>
      </c>
      <c r="D30" s="450" t="s">
        <v>305</v>
      </c>
      <c r="E30" s="450" t="s">
        <v>305</v>
      </c>
      <c r="F30" s="450" t="s">
        <v>305</v>
      </c>
      <c r="G30" s="450" t="s">
        <v>305</v>
      </c>
      <c r="H30" s="450" t="s">
        <v>305</v>
      </c>
      <c r="I30" s="450" t="s">
        <v>305</v>
      </c>
      <c r="J30" s="480" t="s">
        <v>305</v>
      </c>
      <c r="K30" s="480" t="s">
        <v>305</v>
      </c>
      <c r="L30" s="171"/>
      <c r="M30" s="171"/>
    </row>
    <row r="31" spans="1:14" s="11" customFormat="1" ht="18" customHeight="1">
      <c r="A31" s="2322"/>
      <c r="B31" s="462">
        <v>12</v>
      </c>
      <c r="C31" s="450">
        <v>1</v>
      </c>
      <c r="D31" s="450" t="s">
        <v>73</v>
      </c>
      <c r="E31" s="450" t="s">
        <v>73</v>
      </c>
      <c r="F31" s="450" t="s">
        <v>73</v>
      </c>
      <c r="G31" s="450" t="s">
        <v>73</v>
      </c>
      <c r="H31" s="450" t="s">
        <v>73</v>
      </c>
      <c r="I31" s="450" t="s">
        <v>73</v>
      </c>
      <c r="J31" s="480">
        <v>1</v>
      </c>
      <c r="K31" s="480" t="s">
        <v>431</v>
      </c>
      <c r="L31" s="171"/>
      <c r="M31" s="171"/>
    </row>
    <row r="32" spans="1:14" s="11" customFormat="1" ht="18" customHeight="1">
      <c r="A32" s="2329"/>
      <c r="B32" s="466">
        <v>17</v>
      </c>
      <c r="C32" s="451" t="s">
        <v>305</v>
      </c>
      <c r="D32" s="451" t="s">
        <v>305</v>
      </c>
      <c r="E32" s="451" t="s">
        <v>305</v>
      </c>
      <c r="F32" s="451" t="s">
        <v>305</v>
      </c>
      <c r="G32" s="451" t="s">
        <v>305</v>
      </c>
      <c r="H32" s="451" t="s">
        <v>305</v>
      </c>
      <c r="I32" s="451" t="s">
        <v>305</v>
      </c>
      <c r="J32" s="451" t="s">
        <v>305</v>
      </c>
      <c r="K32" s="482" t="s">
        <v>431</v>
      </c>
      <c r="L32" s="171"/>
      <c r="M32" s="171"/>
    </row>
    <row r="33" spans="1:13" s="11" customFormat="1" ht="18" customHeight="1">
      <c r="A33" s="2321" t="s">
        <v>572</v>
      </c>
      <c r="B33" s="462">
        <v>60</v>
      </c>
      <c r="C33" s="450">
        <v>61</v>
      </c>
      <c r="D33" s="462">
        <v>2</v>
      </c>
      <c r="E33" s="462">
        <v>6</v>
      </c>
      <c r="F33" s="462">
        <v>37</v>
      </c>
      <c r="G33" s="462">
        <v>11</v>
      </c>
      <c r="H33" s="462">
        <v>1</v>
      </c>
      <c r="I33" s="462" t="s">
        <v>73</v>
      </c>
      <c r="J33" s="478">
        <v>4</v>
      </c>
      <c r="K33" s="480" t="s">
        <v>305</v>
      </c>
      <c r="L33" s="499"/>
      <c r="M33" s="171"/>
    </row>
    <row r="34" spans="1:13" s="11" customFormat="1" ht="18" customHeight="1">
      <c r="A34" s="2322"/>
      <c r="B34" s="462">
        <v>2</v>
      </c>
      <c r="C34" s="450">
        <v>46</v>
      </c>
      <c r="D34" s="462">
        <v>1</v>
      </c>
      <c r="E34" s="462">
        <v>1</v>
      </c>
      <c r="F34" s="462">
        <v>28</v>
      </c>
      <c r="G34" s="462">
        <v>4</v>
      </c>
      <c r="H34" s="462">
        <v>9</v>
      </c>
      <c r="I34" s="462">
        <v>1</v>
      </c>
      <c r="J34" s="478">
        <v>2</v>
      </c>
      <c r="K34" s="480" t="s">
        <v>305</v>
      </c>
      <c r="L34" s="499"/>
      <c r="M34" s="171"/>
    </row>
    <row r="35" spans="1:13" s="11" customFormat="1" ht="18" customHeight="1">
      <c r="A35" s="2322"/>
      <c r="B35" s="462">
        <v>7</v>
      </c>
      <c r="C35" s="450">
        <v>46</v>
      </c>
      <c r="D35" s="462" t="s">
        <v>69</v>
      </c>
      <c r="E35" s="462">
        <v>4</v>
      </c>
      <c r="F35" s="462">
        <v>29</v>
      </c>
      <c r="G35" s="462">
        <v>7</v>
      </c>
      <c r="H35" s="462">
        <v>1</v>
      </c>
      <c r="I35" s="462" t="s">
        <v>73</v>
      </c>
      <c r="J35" s="478">
        <v>4</v>
      </c>
      <c r="K35" s="478">
        <v>1</v>
      </c>
      <c r="L35" s="499"/>
      <c r="M35" s="171"/>
    </row>
    <row r="36" spans="1:13" s="11" customFormat="1" ht="18" customHeight="1">
      <c r="A36" s="2322"/>
      <c r="B36" s="462">
        <v>12</v>
      </c>
      <c r="C36" s="450">
        <v>60</v>
      </c>
      <c r="D36" s="462">
        <v>4</v>
      </c>
      <c r="E36" s="462">
        <v>17</v>
      </c>
      <c r="F36" s="462">
        <v>27</v>
      </c>
      <c r="G36" s="462">
        <v>3</v>
      </c>
      <c r="H36" s="462">
        <v>9</v>
      </c>
      <c r="I36" s="478" t="s">
        <v>431</v>
      </c>
      <c r="J36" s="478" t="s">
        <v>431</v>
      </c>
      <c r="K36" s="478" t="s">
        <v>431</v>
      </c>
      <c r="L36" s="499"/>
      <c r="M36" s="171"/>
    </row>
    <row r="37" spans="1:13" s="11" customFormat="1" ht="18" customHeight="1" thickBot="1">
      <c r="A37" s="2328"/>
      <c r="B37" s="469">
        <v>17</v>
      </c>
      <c r="C37" s="452">
        <f>SUM(D37:K37)</f>
        <v>34</v>
      </c>
      <c r="D37" s="469">
        <v>2</v>
      </c>
      <c r="E37" s="469">
        <v>9</v>
      </c>
      <c r="F37" s="469">
        <v>15</v>
      </c>
      <c r="G37" s="469">
        <v>2</v>
      </c>
      <c r="H37" s="452">
        <v>3</v>
      </c>
      <c r="I37" s="483">
        <v>2</v>
      </c>
      <c r="J37" s="437">
        <v>1</v>
      </c>
      <c r="K37" s="437" t="s">
        <v>431</v>
      </c>
      <c r="L37" s="499"/>
      <c r="M37" s="171"/>
    </row>
    <row r="38" spans="1:13" s="11" customFormat="1" ht="18" customHeight="1">
      <c r="A38" s="500" t="s">
        <v>172</v>
      </c>
      <c r="B38" s="500"/>
      <c r="C38" s="500" t="s">
        <v>573</v>
      </c>
      <c r="D38" s="500"/>
      <c r="E38" s="500"/>
      <c r="F38" s="500"/>
      <c r="G38" s="501"/>
      <c r="H38" s="500"/>
      <c r="I38" s="500"/>
      <c r="J38" s="500"/>
      <c r="K38" s="500"/>
      <c r="L38" s="171"/>
      <c r="M38" s="171"/>
    </row>
    <row r="39" spans="1:13" s="11" customFormat="1" ht="18" customHeight="1">
      <c r="A39" s="502"/>
      <c r="B39" s="502"/>
      <c r="C39" s="502"/>
      <c r="D39" s="502"/>
      <c r="E39" s="171"/>
      <c r="F39" s="171"/>
      <c r="G39" s="171"/>
      <c r="H39" s="171"/>
      <c r="I39" s="171"/>
      <c r="J39" s="171"/>
      <c r="K39" s="171"/>
      <c r="L39" s="171"/>
      <c r="M39" s="171"/>
    </row>
    <row r="40" spans="1:13" s="11" customFormat="1" ht="18" customHeight="1">
      <c r="A40" s="502"/>
      <c r="B40" s="502"/>
      <c r="C40" s="502"/>
      <c r="D40" s="502"/>
      <c r="E40" s="171"/>
      <c r="F40" s="171"/>
      <c r="G40" s="171"/>
      <c r="H40" s="171"/>
      <c r="I40" s="171"/>
      <c r="J40" s="171"/>
      <c r="K40" s="171"/>
      <c r="L40" s="171"/>
      <c r="M40" s="171"/>
    </row>
    <row r="41" spans="1:13" s="11" customFormat="1" ht="18" customHeight="1">
      <c r="A41" s="502"/>
      <c r="B41" s="502"/>
      <c r="C41" s="502"/>
      <c r="D41" s="502"/>
      <c r="E41" s="171"/>
      <c r="F41" s="171"/>
      <c r="G41" s="171"/>
      <c r="H41" s="171"/>
      <c r="I41" s="171"/>
      <c r="J41" s="171"/>
      <c r="K41" s="171"/>
      <c r="L41" s="171"/>
      <c r="M41" s="171"/>
    </row>
    <row r="42" spans="1:13" s="11" customFormat="1" ht="18" customHeight="1">
      <c r="A42" s="502"/>
      <c r="B42" s="502"/>
      <c r="C42" s="502"/>
      <c r="D42" s="502"/>
      <c r="E42" s="171"/>
      <c r="F42" s="171"/>
      <c r="G42" s="171"/>
      <c r="H42" s="171"/>
      <c r="I42" s="171"/>
      <c r="J42" s="171"/>
      <c r="K42" s="171"/>
      <c r="L42" s="171"/>
      <c r="M42" s="171"/>
    </row>
    <row r="43" spans="1:13" s="11" customFormat="1" ht="18" customHeight="1">
      <c r="A43" s="502"/>
      <c r="B43" s="502"/>
      <c r="C43" s="502"/>
      <c r="D43" s="502"/>
      <c r="E43" s="171"/>
      <c r="F43" s="171"/>
      <c r="G43" s="171"/>
      <c r="H43" s="171"/>
      <c r="I43" s="171"/>
      <c r="J43" s="171"/>
      <c r="K43" s="171"/>
      <c r="L43" s="171"/>
      <c r="M43" s="171"/>
    </row>
    <row r="44" spans="1:13" s="11" customFormat="1" ht="18" customHeight="1">
      <c r="A44" s="502"/>
      <c r="B44" s="502"/>
      <c r="C44" s="502"/>
      <c r="D44" s="502"/>
      <c r="E44" s="171"/>
      <c r="F44" s="171"/>
      <c r="G44" s="171"/>
      <c r="H44" s="171"/>
      <c r="I44" s="171"/>
      <c r="J44" s="171"/>
      <c r="K44" s="171"/>
      <c r="L44" s="171"/>
      <c r="M44" s="171"/>
    </row>
    <row r="45" spans="1:13" s="11" customFormat="1" ht="18" customHeight="1">
      <c r="A45" s="502"/>
      <c r="B45" s="502"/>
      <c r="C45" s="502"/>
      <c r="D45" s="502"/>
      <c r="E45" s="171"/>
      <c r="F45" s="171"/>
      <c r="G45" s="171"/>
      <c r="H45" s="171"/>
      <c r="I45" s="171"/>
      <c r="J45" s="171"/>
      <c r="K45" s="171"/>
      <c r="L45" s="171"/>
      <c r="M45" s="171"/>
    </row>
    <row r="46" spans="1:13" s="11" customFormat="1" ht="18" customHeight="1">
      <c r="A46" s="502"/>
      <c r="B46" s="502"/>
      <c r="C46" s="502"/>
      <c r="D46" s="502"/>
      <c r="E46" s="171"/>
      <c r="F46" s="171"/>
      <c r="G46" s="171"/>
      <c r="H46" s="171"/>
      <c r="I46" s="171"/>
      <c r="J46" s="171"/>
      <c r="K46" s="171"/>
      <c r="L46" s="171"/>
      <c r="M46" s="171"/>
    </row>
    <row r="47" spans="1:13" s="11" customFormat="1" ht="18" customHeight="1">
      <c r="A47" s="502"/>
      <c r="B47" s="502"/>
      <c r="C47" s="502"/>
      <c r="D47" s="502"/>
      <c r="E47" s="171"/>
      <c r="F47" s="171"/>
      <c r="G47" s="171"/>
      <c r="H47" s="171"/>
      <c r="I47" s="171"/>
      <c r="J47" s="171"/>
      <c r="K47" s="171"/>
      <c r="L47" s="171"/>
      <c r="M47" s="171"/>
    </row>
    <row r="48" spans="1:13" s="11" customFormat="1" ht="18" customHeight="1">
      <c r="A48" s="502"/>
      <c r="B48" s="502"/>
      <c r="C48" s="502"/>
      <c r="D48" s="502"/>
      <c r="E48" s="171"/>
      <c r="F48" s="171"/>
      <c r="G48" s="171"/>
      <c r="H48" s="171"/>
      <c r="I48" s="171"/>
      <c r="J48" s="171"/>
      <c r="K48" s="171"/>
      <c r="L48" s="171"/>
      <c r="M48" s="171"/>
    </row>
    <row r="49" spans="1:13" s="11" customFormat="1" ht="18" customHeight="1">
      <c r="A49" s="502"/>
      <c r="B49" s="502"/>
      <c r="C49" s="502"/>
      <c r="D49" s="502"/>
      <c r="E49" s="171"/>
      <c r="F49" s="171"/>
      <c r="G49" s="171"/>
      <c r="H49" s="171"/>
      <c r="I49" s="171"/>
      <c r="J49" s="171"/>
      <c r="K49" s="171"/>
      <c r="L49" s="171"/>
      <c r="M49" s="171"/>
    </row>
    <row r="50" spans="1:13" s="11" customFormat="1" ht="18" customHeight="1">
      <c r="A50" s="502"/>
      <c r="B50" s="502"/>
      <c r="C50" s="502"/>
      <c r="D50" s="502"/>
      <c r="E50" s="171"/>
      <c r="F50" s="171"/>
      <c r="G50" s="171"/>
      <c r="H50" s="171"/>
      <c r="I50" s="171"/>
      <c r="J50" s="171"/>
      <c r="K50" s="171"/>
      <c r="L50" s="171"/>
      <c r="M50" s="171"/>
    </row>
    <row r="51" spans="1:13" s="11" customFormat="1" ht="18" customHeight="1">
      <c r="A51" s="502"/>
      <c r="B51" s="502"/>
      <c r="C51" s="502"/>
      <c r="D51" s="502"/>
      <c r="E51" s="171"/>
      <c r="F51" s="171"/>
      <c r="G51" s="171"/>
      <c r="H51" s="171"/>
      <c r="I51" s="171"/>
      <c r="J51" s="171"/>
      <c r="K51" s="171"/>
      <c r="L51" s="171"/>
      <c r="M51" s="171"/>
    </row>
    <row r="52" spans="1:13" s="11" customFormat="1" ht="18" customHeight="1">
      <c r="A52" s="502"/>
      <c r="B52" s="502"/>
      <c r="C52" s="502"/>
      <c r="D52" s="502"/>
      <c r="E52" s="171"/>
      <c r="F52" s="171"/>
      <c r="G52" s="171"/>
      <c r="H52" s="171"/>
      <c r="I52" s="171"/>
      <c r="J52" s="171"/>
      <c r="K52" s="171"/>
      <c r="L52" s="171"/>
      <c r="M52" s="171"/>
    </row>
    <row r="53" spans="1:13" s="11" customFormat="1" ht="18" customHeight="1">
      <c r="A53" s="502"/>
      <c r="B53" s="502"/>
      <c r="C53" s="502"/>
      <c r="D53" s="502"/>
      <c r="E53" s="171"/>
      <c r="F53" s="171"/>
      <c r="G53" s="171"/>
      <c r="H53" s="171"/>
      <c r="I53" s="171"/>
      <c r="J53" s="171"/>
      <c r="K53" s="171"/>
      <c r="L53" s="171"/>
      <c r="M53" s="171"/>
    </row>
    <row r="54" spans="1:13" s="11" customFormat="1" ht="18" customHeight="1">
      <c r="A54" s="502"/>
      <c r="B54" s="502"/>
      <c r="C54" s="502"/>
      <c r="D54" s="502"/>
      <c r="E54" s="171"/>
      <c r="F54" s="171"/>
      <c r="G54" s="171"/>
      <c r="H54" s="171"/>
      <c r="I54" s="171"/>
      <c r="J54" s="171"/>
      <c r="K54" s="171"/>
      <c r="L54" s="171"/>
      <c r="M54" s="171"/>
    </row>
    <row r="55" spans="1:13" s="11" customFormat="1" ht="18" customHeight="1">
      <c r="A55" s="502"/>
      <c r="B55" s="502"/>
      <c r="C55" s="502"/>
      <c r="D55" s="502"/>
      <c r="E55" s="171"/>
      <c r="F55" s="171"/>
      <c r="G55" s="171"/>
      <c r="H55" s="171"/>
      <c r="I55" s="171"/>
      <c r="J55" s="171"/>
      <c r="K55" s="171"/>
      <c r="L55" s="171"/>
      <c r="M55" s="171"/>
    </row>
    <row r="56" spans="1:13" s="11" customFormat="1" ht="18" customHeight="1">
      <c r="A56" s="502"/>
      <c r="B56" s="502"/>
      <c r="C56" s="502"/>
      <c r="D56" s="502"/>
      <c r="E56" s="171"/>
      <c r="F56" s="171"/>
      <c r="G56" s="171"/>
      <c r="H56" s="171"/>
      <c r="I56" s="171"/>
      <c r="J56" s="171"/>
      <c r="K56" s="171"/>
      <c r="L56" s="171"/>
      <c r="M56" s="171"/>
    </row>
    <row r="57" spans="1:13" s="11" customFormat="1" ht="18" customHeight="1">
      <c r="A57" s="502"/>
      <c r="B57" s="502"/>
      <c r="C57" s="502"/>
      <c r="D57" s="502"/>
      <c r="E57" s="171"/>
      <c r="F57" s="171"/>
      <c r="G57" s="171"/>
      <c r="H57" s="171"/>
      <c r="I57" s="171"/>
      <c r="J57" s="171"/>
      <c r="K57" s="171"/>
      <c r="L57" s="171"/>
      <c r="M57" s="171"/>
    </row>
    <row r="58" spans="1:13" s="11" customFormat="1" ht="18" customHeight="1">
      <c r="A58" s="502"/>
      <c r="B58" s="502"/>
      <c r="C58" s="502"/>
      <c r="D58" s="502"/>
      <c r="E58" s="171"/>
      <c r="F58" s="171"/>
      <c r="G58" s="171"/>
      <c r="H58" s="171"/>
      <c r="I58" s="171"/>
      <c r="J58" s="171"/>
      <c r="K58" s="171"/>
      <c r="L58" s="171"/>
      <c r="M58" s="171"/>
    </row>
    <row r="59" spans="1:13" s="11" customFormat="1" ht="18" customHeight="1">
      <c r="A59" s="502"/>
      <c r="B59" s="502"/>
      <c r="C59" s="502"/>
      <c r="D59" s="502"/>
      <c r="E59" s="171"/>
      <c r="F59" s="171"/>
      <c r="G59" s="171"/>
      <c r="H59" s="171"/>
      <c r="I59" s="171"/>
      <c r="J59" s="171"/>
      <c r="K59" s="171"/>
      <c r="L59" s="171"/>
      <c r="M59" s="171"/>
    </row>
    <row r="60" spans="1:13" s="11" customFormat="1" ht="18" customHeight="1">
      <c r="A60" s="502"/>
      <c r="B60" s="502"/>
      <c r="C60" s="502"/>
      <c r="D60" s="502"/>
      <c r="E60" s="171"/>
      <c r="F60" s="171"/>
      <c r="G60" s="171"/>
      <c r="H60" s="171"/>
      <c r="I60" s="171"/>
      <c r="J60" s="171"/>
      <c r="K60" s="171"/>
      <c r="L60" s="171"/>
      <c r="M60" s="171"/>
    </row>
    <row r="61" spans="1:13" s="11" customFormat="1" ht="18" customHeight="1">
      <c r="A61" s="502"/>
      <c r="B61" s="502"/>
      <c r="C61" s="502"/>
      <c r="D61" s="502"/>
      <c r="E61" s="171"/>
      <c r="F61" s="171"/>
      <c r="G61" s="171"/>
      <c r="H61" s="171"/>
      <c r="I61" s="171"/>
      <c r="J61" s="171"/>
      <c r="K61" s="171"/>
      <c r="L61" s="171"/>
      <c r="M61" s="171"/>
    </row>
    <row r="62" spans="1:13" s="11" customFormat="1" ht="18" customHeight="1">
      <c r="A62" s="502"/>
      <c r="B62" s="502"/>
      <c r="C62" s="502"/>
      <c r="D62" s="502"/>
      <c r="E62" s="171"/>
      <c r="F62" s="171"/>
      <c r="G62" s="171"/>
      <c r="H62" s="171"/>
      <c r="I62" s="171"/>
      <c r="J62" s="171"/>
      <c r="K62" s="171"/>
      <c r="L62" s="171"/>
      <c r="M62" s="171"/>
    </row>
    <row r="63" spans="1:13" s="11" customFormat="1" ht="18" customHeight="1">
      <c r="A63" s="502"/>
      <c r="B63" s="502"/>
      <c r="C63" s="502"/>
      <c r="D63" s="502"/>
      <c r="E63" s="171"/>
      <c r="F63" s="171"/>
      <c r="G63" s="171"/>
      <c r="H63" s="171"/>
      <c r="I63" s="171"/>
      <c r="J63" s="171"/>
      <c r="K63" s="171"/>
      <c r="L63" s="171"/>
      <c r="M63" s="171"/>
    </row>
    <row r="64" spans="1:13" s="11" customFormat="1" ht="18" customHeight="1">
      <c r="A64" s="502"/>
      <c r="B64" s="502"/>
      <c r="C64" s="502"/>
      <c r="D64" s="502"/>
      <c r="E64" s="171"/>
      <c r="F64" s="171"/>
      <c r="G64" s="171"/>
      <c r="H64" s="171"/>
      <c r="I64" s="171"/>
      <c r="J64" s="171"/>
      <c r="K64" s="171"/>
      <c r="L64" s="171"/>
      <c r="M64" s="171"/>
    </row>
    <row r="65" spans="1:13" s="11" customFormat="1" ht="18" customHeight="1">
      <c r="A65" s="502"/>
      <c r="B65" s="502"/>
      <c r="C65" s="502"/>
      <c r="D65" s="502"/>
      <c r="E65" s="171"/>
      <c r="F65" s="171"/>
      <c r="G65" s="171"/>
      <c r="H65" s="171"/>
      <c r="I65" s="171"/>
      <c r="J65" s="171"/>
      <c r="K65" s="171"/>
      <c r="L65" s="171"/>
      <c r="M65" s="171"/>
    </row>
    <row r="66" spans="1:13" s="11" customFormat="1" ht="18" customHeight="1">
      <c r="A66" s="502"/>
      <c r="B66" s="502"/>
      <c r="C66" s="502"/>
      <c r="D66" s="502"/>
      <c r="E66" s="171"/>
      <c r="F66" s="171"/>
      <c r="G66" s="171"/>
      <c r="H66" s="171"/>
      <c r="I66" s="171"/>
      <c r="J66" s="171"/>
      <c r="K66" s="171"/>
      <c r="L66" s="171"/>
      <c r="M66" s="171"/>
    </row>
    <row r="67" spans="1:13" s="11" customFormat="1" ht="18" customHeight="1">
      <c r="A67" s="502"/>
      <c r="B67" s="502"/>
      <c r="C67" s="502"/>
      <c r="D67" s="502"/>
      <c r="E67" s="171"/>
      <c r="F67" s="171"/>
      <c r="G67" s="171"/>
      <c r="H67" s="171"/>
      <c r="I67" s="171"/>
      <c r="J67" s="171"/>
      <c r="K67" s="171"/>
      <c r="L67" s="171"/>
      <c r="M67" s="171"/>
    </row>
    <row r="68" spans="1:13" s="11" customFormat="1" ht="18" customHeight="1">
      <c r="A68" s="502"/>
      <c r="B68" s="502"/>
      <c r="C68" s="502"/>
      <c r="D68" s="502"/>
      <c r="E68" s="171"/>
      <c r="F68" s="171"/>
      <c r="G68" s="171"/>
      <c r="H68" s="171"/>
      <c r="I68" s="171"/>
      <c r="J68" s="171"/>
      <c r="K68" s="171"/>
      <c r="L68" s="171"/>
      <c r="M68" s="171"/>
    </row>
    <row r="69" spans="1:13" s="11" customFormat="1" ht="18" customHeight="1">
      <c r="A69" s="502"/>
      <c r="B69" s="502"/>
      <c r="C69" s="502"/>
      <c r="D69" s="502"/>
      <c r="E69" s="171"/>
      <c r="F69" s="171"/>
      <c r="G69" s="171"/>
      <c r="H69" s="171"/>
      <c r="I69" s="171"/>
      <c r="J69" s="171"/>
      <c r="K69" s="171"/>
      <c r="L69" s="171"/>
      <c r="M69" s="171"/>
    </row>
    <row r="70" spans="1:13" s="11" customFormat="1" ht="18" customHeight="1">
      <c r="A70" s="502"/>
      <c r="B70" s="502"/>
      <c r="C70" s="502"/>
      <c r="D70" s="502"/>
      <c r="E70" s="171"/>
      <c r="F70" s="171"/>
      <c r="G70" s="171"/>
      <c r="H70" s="171"/>
      <c r="I70" s="171"/>
      <c r="J70" s="171"/>
      <c r="K70" s="171"/>
      <c r="L70" s="171"/>
      <c r="M70" s="171"/>
    </row>
    <row r="71" spans="1:13" s="11" customFormat="1" ht="18" customHeight="1">
      <c r="A71" s="502"/>
      <c r="B71" s="502"/>
      <c r="C71" s="502"/>
      <c r="D71" s="502"/>
      <c r="E71" s="171"/>
      <c r="F71" s="171"/>
      <c r="G71" s="171"/>
      <c r="H71" s="171"/>
      <c r="I71" s="171"/>
      <c r="J71" s="171"/>
      <c r="K71" s="171"/>
      <c r="L71" s="171"/>
      <c r="M71" s="171"/>
    </row>
    <row r="72" spans="1:13" s="11" customFormat="1" ht="18" customHeight="1">
      <c r="A72" s="502"/>
      <c r="B72" s="502"/>
      <c r="C72" s="502"/>
      <c r="D72" s="502"/>
      <c r="E72" s="171"/>
      <c r="F72" s="171"/>
      <c r="G72" s="171"/>
      <c r="H72" s="171"/>
      <c r="I72" s="171"/>
      <c r="J72" s="171"/>
      <c r="K72" s="171"/>
      <c r="L72" s="171"/>
      <c r="M72" s="171"/>
    </row>
    <row r="73" spans="1:13" s="11" customFormat="1" ht="18" customHeight="1">
      <c r="A73" s="502"/>
      <c r="B73" s="502"/>
      <c r="C73" s="502"/>
      <c r="D73" s="502"/>
      <c r="E73" s="171"/>
      <c r="F73" s="171"/>
      <c r="G73" s="171"/>
      <c r="H73" s="171"/>
      <c r="I73" s="171"/>
      <c r="J73" s="171"/>
      <c r="K73" s="171"/>
      <c r="L73" s="171"/>
      <c r="M73" s="171"/>
    </row>
    <row r="74" spans="1:13" s="11" customFormat="1" ht="18" customHeight="1">
      <c r="A74" s="502"/>
      <c r="B74" s="502"/>
      <c r="C74" s="502"/>
      <c r="D74" s="502"/>
      <c r="E74" s="171"/>
      <c r="F74" s="171"/>
      <c r="G74" s="171"/>
      <c r="H74" s="171"/>
      <c r="I74" s="171"/>
      <c r="J74" s="171"/>
      <c r="K74" s="171"/>
      <c r="L74" s="171"/>
      <c r="M74" s="171"/>
    </row>
    <row r="75" spans="1:13" s="11" customFormat="1" ht="18" customHeight="1">
      <c r="A75" s="502"/>
      <c r="B75" s="502"/>
      <c r="C75" s="502"/>
      <c r="D75" s="502"/>
      <c r="E75" s="171"/>
      <c r="F75" s="171"/>
      <c r="G75" s="171"/>
      <c r="H75" s="171"/>
      <c r="I75" s="171"/>
      <c r="J75" s="171"/>
      <c r="K75" s="171"/>
      <c r="L75" s="171"/>
      <c r="M75" s="171"/>
    </row>
    <row r="76" spans="1:13" s="11" customFormat="1" ht="18" customHeight="1">
      <c r="A76" s="502"/>
      <c r="B76" s="502"/>
      <c r="C76" s="502"/>
      <c r="D76" s="502"/>
      <c r="E76" s="171"/>
      <c r="F76" s="171"/>
      <c r="G76" s="171"/>
      <c r="H76" s="171"/>
      <c r="I76" s="171"/>
      <c r="J76" s="171"/>
      <c r="K76" s="171"/>
      <c r="L76" s="171"/>
      <c r="M76" s="171"/>
    </row>
    <row r="77" spans="1:13" s="11" customFormat="1" ht="18" customHeight="1">
      <c r="A77" s="502"/>
      <c r="B77" s="502"/>
      <c r="C77" s="502"/>
      <c r="D77" s="502"/>
      <c r="E77" s="171"/>
      <c r="F77" s="171"/>
      <c r="G77" s="171"/>
      <c r="H77" s="171"/>
      <c r="I77" s="171"/>
      <c r="J77" s="171"/>
      <c r="K77" s="171"/>
      <c r="L77" s="171"/>
      <c r="M77" s="171"/>
    </row>
    <row r="78" spans="1:13" s="11" customFormat="1" ht="18" customHeight="1">
      <c r="A78" s="502"/>
      <c r="B78" s="502"/>
      <c r="C78" s="502"/>
      <c r="D78" s="502"/>
      <c r="E78" s="171"/>
      <c r="F78" s="171"/>
      <c r="G78" s="171"/>
      <c r="H78" s="171"/>
      <c r="I78" s="171"/>
      <c r="J78" s="171"/>
      <c r="K78" s="171"/>
      <c r="L78" s="171"/>
      <c r="M78" s="171"/>
    </row>
    <row r="79" spans="1:13" s="11" customFormat="1" ht="18" customHeight="1">
      <c r="A79" s="502"/>
      <c r="B79" s="502"/>
      <c r="C79" s="502"/>
      <c r="D79" s="502"/>
      <c r="E79" s="171"/>
      <c r="F79" s="171"/>
      <c r="G79" s="171"/>
      <c r="H79" s="171"/>
      <c r="I79" s="171"/>
      <c r="J79" s="171"/>
      <c r="K79" s="171"/>
      <c r="L79" s="171"/>
      <c r="M79" s="171"/>
    </row>
    <row r="80" spans="1:13" s="11" customFormat="1" ht="18" customHeight="1">
      <c r="A80" s="502"/>
      <c r="B80" s="502"/>
      <c r="C80" s="502"/>
      <c r="D80" s="502"/>
      <c r="E80" s="171"/>
      <c r="F80" s="171"/>
      <c r="G80" s="171"/>
      <c r="H80" s="171"/>
      <c r="I80" s="171"/>
      <c r="J80" s="171"/>
      <c r="K80" s="171"/>
      <c r="L80" s="171"/>
      <c r="M80" s="171"/>
    </row>
    <row r="81" spans="1:13" s="11" customFormat="1" ht="18" customHeight="1">
      <c r="A81" s="502"/>
      <c r="B81" s="502"/>
      <c r="C81" s="502"/>
      <c r="D81" s="502"/>
      <c r="E81" s="171"/>
      <c r="F81" s="171"/>
      <c r="G81" s="171"/>
      <c r="H81" s="171"/>
      <c r="I81" s="171"/>
      <c r="J81" s="171"/>
      <c r="K81" s="171"/>
      <c r="L81" s="171"/>
      <c r="M81" s="171"/>
    </row>
    <row r="82" spans="1:13" s="11" customFormat="1" ht="18" customHeight="1">
      <c r="A82" s="502"/>
      <c r="B82" s="502"/>
      <c r="C82" s="502"/>
      <c r="D82" s="502"/>
      <c r="E82" s="171"/>
      <c r="F82" s="171"/>
      <c r="G82" s="171"/>
      <c r="H82" s="171"/>
      <c r="I82" s="171"/>
      <c r="J82" s="171"/>
      <c r="K82" s="171"/>
      <c r="L82" s="171"/>
      <c r="M82" s="171"/>
    </row>
    <row r="83" spans="1:13" s="11" customFormat="1" ht="18" customHeight="1">
      <c r="A83" s="502"/>
      <c r="B83" s="502"/>
      <c r="C83" s="502"/>
      <c r="D83" s="502"/>
      <c r="E83" s="171"/>
      <c r="F83" s="171"/>
      <c r="G83" s="171"/>
      <c r="H83" s="171"/>
      <c r="I83" s="171"/>
      <c r="J83" s="171"/>
      <c r="K83" s="171"/>
      <c r="L83" s="171"/>
      <c r="M83" s="171"/>
    </row>
    <row r="84" spans="1:13" s="11" customFormat="1" ht="18" customHeight="1">
      <c r="A84" s="502"/>
      <c r="B84" s="502"/>
      <c r="C84" s="502"/>
      <c r="D84" s="502"/>
      <c r="E84" s="171"/>
      <c r="F84" s="171"/>
      <c r="G84" s="171"/>
      <c r="H84" s="171"/>
      <c r="I84" s="171"/>
      <c r="J84" s="171"/>
      <c r="K84" s="171"/>
      <c r="L84" s="171"/>
      <c r="M84" s="171"/>
    </row>
    <row r="85" spans="1:13" s="11" customFormat="1" ht="18" customHeight="1">
      <c r="A85" s="502"/>
      <c r="B85" s="502"/>
      <c r="C85" s="502"/>
      <c r="D85" s="502"/>
      <c r="E85" s="171"/>
      <c r="F85" s="171"/>
      <c r="G85" s="171"/>
      <c r="H85" s="171"/>
      <c r="I85" s="171"/>
      <c r="J85" s="171"/>
      <c r="K85" s="171"/>
      <c r="L85" s="171"/>
      <c r="M85" s="171"/>
    </row>
    <row r="86" spans="1:13" s="11" customFormat="1" ht="18" customHeight="1">
      <c r="A86" s="502"/>
      <c r="B86" s="502"/>
      <c r="C86" s="502"/>
      <c r="D86" s="502"/>
      <c r="E86" s="171"/>
      <c r="F86" s="171"/>
      <c r="G86" s="171"/>
      <c r="H86" s="171"/>
      <c r="I86" s="171"/>
      <c r="J86" s="171"/>
      <c r="K86" s="171"/>
      <c r="L86" s="171"/>
      <c r="M86" s="171"/>
    </row>
    <row r="87" spans="1:13" s="11" customFormat="1" ht="18" customHeight="1">
      <c r="A87" s="502"/>
      <c r="B87" s="502"/>
      <c r="C87" s="502"/>
      <c r="D87" s="502"/>
      <c r="E87" s="171"/>
      <c r="F87" s="171"/>
      <c r="G87" s="171"/>
      <c r="H87" s="171"/>
      <c r="I87" s="171"/>
      <c r="J87" s="171"/>
      <c r="K87" s="171"/>
      <c r="L87" s="171"/>
      <c r="M87" s="171"/>
    </row>
    <row r="88" spans="1:13" s="11" customFormat="1" ht="18" customHeight="1">
      <c r="A88" s="502"/>
      <c r="B88" s="502"/>
      <c r="C88" s="502"/>
      <c r="D88" s="502"/>
      <c r="E88" s="171"/>
      <c r="F88" s="171"/>
      <c r="G88" s="171"/>
      <c r="H88" s="171"/>
      <c r="I88" s="171"/>
      <c r="J88" s="171"/>
      <c r="K88" s="171"/>
      <c r="L88" s="171"/>
      <c r="M88" s="171"/>
    </row>
    <row r="89" spans="1:13" s="11" customFormat="1" ht="18" customHeight="1">
      <c r="A89" s="502"/>
      <c r="B89" s="502"/>
      <c r="C89" s="502"/>
      <c r="D89" s="502"/>
      <c r="E89" s="171"/>
      <c r="F89" s="171"/>
      <c r="G89" s="171"/>
      <c r="H89" s="171"/>
      <c r="I89" s="171"/>
      <c r="J89" s="171"/>
      <c r="K89" s="171"/>
      <c r="L89" s="171"/>
      <c r="M89" s="171"/>
    </row>
    <row r="90" spans="1:13" s="11" customFormat="1" ht="18" customHeight="1">
      <c r="A90" s="502"/>
      <c r="B90" s="502"/>
      <c r="C90" s="502"/>
      <c r="D90" s="502"/>
      <c r="E90" s="171"/>
      <c r="F90" s="171"/>
      <c r="G90" s="171"/>
      <c r="H90" s="171"/>
      <c r="I90" s="171"/>
      <c r="J90" s="171"/>
      <c r="K90" s="171"/>
      <c r="L90" s="171"/>
      <c r="M90" s="171"/>
    </row>
    <row r="91" spans="1:13" s="11" customFormat="1" ht="18" customHeight="1">
      <c r="A91" s="502"/>
      <c r="B91" s="502"/>
      <c r="C91" s="502"/>
      <c r="D91" s="502"/>
      <c r="E91" s="171"/>
      <c r="F91" s="171"/>
      <c r="G91" s="171"/>
      <c r="H91" s="171"/>
      <c r="I91" s="171"/>
      <c r="J91" s="171"/>
      <c r="K91" s="171"/>
      <c r="L91" s="171"/>
      <c r="M91" s="171"/>
    </row>
    <row r="92" spans="1:13" s="11" customFormat="1" ht="18" customHeight="1">
      <c r="A92" s="502"/>
      <c r="B92" s="502"/>
      <c r="C92" s="502"/>
      <c r="D92" s="502"/>
      <c r="E92" s="171"/>
      <c r="F92" s="171"/>
      <c r="G92" s="171"/>
      <c r="H92" s="171"/>
      <c r="I92" s="171"/>
      <c r="J92" s="171"/>
      <c r="K92" s="171"/>
      <c r="L92" s="171"/>
      <c r="M92" s="171"/>
    </row>
    <row r="93" spans="1:13" s="11" customFormat="1" ht="18" customHeight="1">
      <c r="A93" s="502"/>
      <c r="B93" s="502"/>
      <c r="C93" s="502"/>
      <c r="D93" s="502"/>
      <c r="E93" s="171"/>
      <c r="F93" s="171"/>
      <c r="G93" s="171"/>
      <c r="H93" s="171"/>
      <c r="I93" s="171"/>
      <c r="J93" s="171"/>
      <c r="K93" s="171"/>
      <c r="L93" s="171"/>
      <c r="M93" s="171"/>
    </row>
    <row r="94" spans="1:13" s="11" customFormat="1" ht="18" customHeight="1">
      <c r="A94" s="502"/>
      <c r="B94" s="502"/>
      <c r="C94" s="502"/>
      <c r="D94" s="502"/>
      <c r="E94" s="171"/>
      <c r="F94" s="171"/>
      <c r="G94" s="171"/>
      <c r="H94" s="171"/>
      <c r="I94" s="171"/>
      <c r="J94" s="171"/>
      <c r="K94" s="171"/>
      <c r="L94" s="171"/>
      <c r="M94" s="171"/>
    </row>
    <row r="95" spans="1:13" s="11" customFormat="1" ht="18" customHeight="1">
      <c r="A95" s="502"/>
      <c r="B95" s="502"/>
      <c r="C95" s="502"/>
      <c r="D95" s="502"/>
      <c r="E95" s="171"/>
      <c r="F95" s="171"/>
      <c r="G95" s="171"/>
      <c r="H95" s="171"/>
      <c r="I95" s="171"/>
      <c r="J95" s="171"/>
      <c r="K95" s="171"/>
      <c r="L95" s="171"/>
      <c r="M95" s="171"/>
    </row>
    <row r="96" spans="1:13" s="11" customFormat="1" ht="18" customHeight="1">
      <c r="A96" s="502"/>
      <c r="B96" s="502"/>
      <c r="C96" s="502"/>
      <c r="D96" s="502"/>
      <c r="E96" s="171"/>
      <c r="F96" s="171"/>
      <c r="G96" s="171"/>
      <c r="H96" s="171"/>
      <c r="I96" s="171"/>
      <c r="J96" s="171"/>
      <c r="K96" s="171"/>
      <c r="L96" s="171"/>
      <c r="M96" s="171"/>
    </row>
    <row r="97" spans="1:13" s="11" customFormat="1" ht="18" customHeight="1">
      <c r="A97" s="502"/>
      <c r="B97" s="502"/>
      <c r="C97" s="502"/>
      <c r="D97" s="502"/>
      <c r="E97" s="171"/>
      <c r="F97" s="171"/>
      <c r="G97" s="171"/>
      <c r="H97" s="171"/>
      <c r="I97" s="171"/>
      <c r="J97" s="171"/>
      <c r="K97" s="171"/>
      <c r="L97" s="171"/>
      <c r="M97" s="171"/>
    </row>
    <row r="98" spans="1:13" s="11" customFormat="1" ht="18" customHeight="1">
      <c r="A98" s="502"/>
      <c r="B98" s="502"/>
      <c r="C98" s="502"/>
      <c r="D98" s="502"/>
      <c r="E98" s="171"/>
      <c r="F98" s="171"/>
      <c r="G98" s="171"/>
      <c r="H98" s="171"/>
      <c r="I98" s="171"/>
      <c r="J98" s="171"/>
      <c r="K98" s="171"/>
      <c r="L98" s="171"/>
      <c r="M98" s="171"/>
    </row>
    <row r="99" spans="1:13" s="11" customFormat="1" ht="18" customHeight="1">
      <c r="A99" s="502"/>
      <c r="B99" s="502"/>
      <c r="C99" s="502"/>
      <c r="D99" s="502"/>
      <c r="E99" s="171"/>
      <c r="F99" s="171"/>
      <c r="G99" s="171"/>
      <c r="H99" s="171"/>
      <c r="I99" s="171"/>
      <c r="J99" s="171"/>
      <c r="K99" s="171"/>
      <c r="L99" s="171"/>
      <c r="M99" s="171"/>
    </row>
    <row r="100" spans="1:13" s="11" customFormat="1" ht="18" customHeight="1">
      <c r="A100" s="502"/>
      <c r="B100" s="502"/>
      <c r="C100" s="502"/>
      <c r="D100" s="502"/>
      <c r="E100" s="171"/>
      <c r="F100" s="171"/>
      <c r="G100" s="171"/>
      <c r="H100" s="171"/>
      <c r="I100" s="171"/>
      <c r="J100" s="171"/>
      <c r="K100" s="171"/>
      <c r="L100" s="171"/>
      <c r="M100" s="171"/>
    </row>
    <row r="101" spans="1:13" s="11" customFormat="1" ht="18" customHeight="1">
      <c r="A101" s="502"/>
      <c r="B101" s="502"/>
      <c r="C101" s="502"/>
      <c r="D101" s="502"/>
      <c r="E101" s="171"/>
      <c r="F101" s="171"/>
      <c r="G101" s="171"/>
      <c r="H101" s="171"/>
      <c r="I101" s="171"/>
      <c r="J101" s="171"/>
      <c r="K101" s="171"/>
      <c r="L101" s="171"/>
      <c r="M101" s="171"/>
    </row>
    <row r="102" spans="1:13" s="11" customFormat="1" ht="18" customHeight="1">
      <c r="A102" s="502"/>
      <c r="B102" s="502"/>
      <c r="C102" s="502"/>
      <c r="D102" s="502"/>
      <c r="E102" s="171"/>
      <c r="F102" s="171"/>
      <c r="G102" s="171"/>
      <c r="H102" s="171"/>
      <c r="I102" s="171"/>
      <c r="J102" s="171"/>
      <c r="K102" s="171"/>
      <c r="L102" s="171"/>
      <c r="M102" s="171"/>
    </row>
    <row r="103" spans="1:13" s="11" customFormat="1" ht="18" customHeight="1">
      <c r="A103" s="502"/>
      <c r="B103" s="502"/>
      <c r="C103" s="502"/>
      <c r="D103" s="502"/>
      <c r="E103" s="171"/>
      <c r="F103" s="171"/>
      <c r="G103" s="171"/>
      <c r="H103" s="171"/>
      <c r="I103" s="171"/>
      <c r="J103" s="171"/>
      <c r="K103" s="171"/>
      <c r="L103" s="171"/>
      <c r="M103" s="171"/>
    </row>
    <row r="104" spans="1:13" s="11" customFormat="1" ht="18" customHeight="1">
      <c r="A104" s="502"/>
      <c r="B104" s="502"/>
      <c r="C104" s="502"/>
      <c r="D104" s="502"/>
      <c r="E104" s="171"/>
      <c r="F104" s="171"/>
      <c r="G104" s="171"/>
      <c r="H104" s="171"/>
      <c r="I104" s="171"/>
      <c r="J104" s="171"/>
      <c r="K104" s="171"/>
      <c r="L104" s="171"/>
      <c r="M104" s="171"/>
    </row>
    <row r="105" spans="1:13" s="11" customFormat="1" ht="18" customHeight="1">
      <c r="A105" s="502"/>
      <c r="B105" s="502"/>
      <c r="C105" s="502"/>
      <c r="D105" s="502"/>
      <c r="E105" s="171"/>
      <c r="F105" s="171"/>
      <c r="G105" s="171"/>
      <c r="H105" s="171"/>
      <c r="I105" s="171"/>
      <c r="J105" s="171"/>
      <c r="K105" s="171"/>
      <c r="L105" s="171"/>
      <c r="M105" s="171"/>
    </row>
    <row r="106" spans="1:13" s="11" customFormat="1" ht="18" customHeight="1">
      <c r="A106" s="502"/>
      <c r="B106" s="502"/>
      <c r="C106" s="502"/>
      <c r="D106" s="502"/>
      <c r="E106" s="171"/>
      <c r="F106" s="171"/>
      <c r="G106" s="171"/>
      <c r="H106" s="171"/>
      <c r="I106" s="171"/>
      <c r="J106" s="171"/>
      <c r="K106" s="171"/>
      <c r="L106" s="171"/>
      <c r="M106" s="171"/>
    </row>
    <row r="107" spans="1:13" s="11" customFormat="1" ht="18" customHeight="1">
      <c r="A107" s="502"/>
      <c r="B107" s="502"/>
      <c r="C107" s="502"/>
      <c r="D107" s="502"/>
      <c r="E107" s="171"/>
      <c r="F107" s="171"/>
      <c r="G107" s="171"/>
      <c r="H107" s="171"/>
      <c r="I107" s="171"/>
      <c r="J107" s="171"/>
      <c r="K107" s="171"/>
      <c r="L107" s="171"/>
      <c r="M107" s="171"/>
    </row>
    <row r="108" spans="1:13" s="11" customFormat="1" ht="18" customHeight="1">
      <c r="A108" s="502"/>
      <c r="B108" s="502"/>
      <c r="C108" s="502"/>
      <c r="D108" s="502"/>
      <c r="E108" s="171"/>
      <c r="F108" s="171"/>
      <c r="G108" s="171"/>
      <c r="H108" s="171"/>
      <c r="I108" s="171"/>
      <c r="J108" s="171"/>
      <c r="K108" s="171"/>
      <c r="L108" s="171"/>
      <c r="M108" s="171"/>
    </row>
    <row r="109" spans="1:13" s="11" customFormat="1" ht="18" customHeight="1">
      <c r="A109" s="502"/>
      <c r="B109" s="502"/>
      <c r="C109" s="502"/>
      <c r="D109" s="502"/>
      <c r="E109" s="171"/>
      <c r="F109" s="171"/>
      <c r="G109" s="171"/>
      <c r="H109" s="171"/>
      <c r="I109" s="171"/>
      <c r="J109" s="171"/>
      <c r="K109" s="171"/>
      <c r="L109" s="171"/>
      <c r="M109" s="171"/>
    </row>
    <row r="110" spans="1:13" s="11" customFormat="1" ht="18" customHeight="1">
      <c r="A110" s="502"/>
      <c r="B110" s="502"/>
      <c r="C110" s="502"/>
      <c r="D110" s="502"/>
      <c r="E110" s="171"/>
      <c r="F110" s="171"/>
      <c r="G110" s="171"/>
      <c r="H110" s="171"/>
      <c r="I110" s="171"/>
      <c r="J110" s="171"/>
      <c r="K110" s="171"/>
      <c r="L110" s="171"/>
      <c r="M110" s="171"/>
    </row>
    <row r="111" spans="1:13" s="11" customFormat="1" ht="18" customHeight="1">
      <c r="A111" s="502"/>
      <c r="B111" s="502"/>
      <c r="C111" s="502"/>
      <c r="D111" s="502"/>
      <c r="E111" s="171"/>
      <c r="F111" s="171"/>
      <c r="G111" s="171"/>
      <c r="H111" s="171"/>
      <c r="I111" s="171"/>
      <c r="J111" s="171"/>
      <c r="K111" s="171"/>
      <c r="L111" s="171"/>
      <c r="M111" s="171"/>
    </row>
    <row r="112" spans="1:13" s="11" customFormat="1" ht="18" customHeight="1">
      <c r="A112" s="502"/>
      <c r="B112" s="502"/>
      <c r="C112" s="502"/>
      <c r="D112" s="502"/>
      <c r="E112" s="171"/>
      <c r="F112" s="171"/>
      <c r="G112" s="171"/>
      <c r="H112" s="171"/>
      <c r="I112" s="171"/>
      <c r="J112" s="171"/>
      <c r="K112" s="171"/>
      <c r="L112" s="171"/>
      <c r="M112" s="171"/>
    </row>
    <row r="113" spans="1:13" s="11" customFormat="1" ht="18" customHeight="1">
      <c r="A113" s="502"/>
      <c r="B113" s="502"/>
      <c r="C113" s="502"/>
      <c r="D113" s="502"/>
      <c r="E113" s="171"/>
      <c r="F113" s="171"/>
      <c r="G113" s="171"/>
      <c r="H113" s="171"/>
      <c r="I113" s="171"/>
      <c r="J113" s="171"/>
      <c r="K113" s="171"/>
      <c r="L113" s="171"/>
      <c r="M113" s="171"/>
    </row>
    <row r="114" spans="1:13" s="11" customFormat="1" ht="18" customHeight="1">
      <c r="A114" s="502"/>
      <c r="B114" s="502"/>
      <c r="C114" s="502"/>
      <c r="D114" s="502"/>
      <c r="E114" s="171"/>
      <c r="F114" s="171"/>
      <c r="G114" s="171"/>
      <c r="H114" s="171"/>
      <c r="I114" s="171"/>
      <c r="J114" s="171"/>
      <c r="K114" s="171"/>
      <c r="L114" s="171"/>
      <c r="M114" s="171"/>
    </row>
    <row r="115" spans="1:13" s="11" customFormat="1" ht="10.8">
      <c r="A115" s="171"/>
      <c r="B115" s="171"/>
      <c r="C115" s="171"/>
      <c r="D115" s="171"/>
      <c r="E115" s="171"/>
      <c r="F115" s="171"/>
      <c r="G115" s="171"/>
      <c r="H115" s="171"/>
      <c r="I115" s="171"/>
      <c r="J115" s="171"/>
      <c r="K115" s="171"/>
      <c r="L115" s="171"/>
      <c r="M115" s="171"/>
    </row>
  </sheetData>
  <mergeCells count="5">
    <mergeCell ref="A33:A37"/>
    <mergeCell ref="A3:A10"/>
    <mergeCell ref="A11:A18"/>
    <mergeCell ref="A21:A25"/>
    <mergeCell ref="A28:A32"/>
  </mergeCells>
  <phoneticPr fontId="4"/>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D33C-2690-4701-ACE8-5AE16274F4FA}">
  <sheetPr codeName="Sheet11">
    <pageSetUpPr fitToPage="1"/>
  </sheetPr>
  <dimension ref="A1:C8"/>
  <sheetViews>
    <sheetView zoomScaleNormal="100" workbookViewId="0">
      <selection sqref="A1:C1"/>
    </sheetView>
  </sheetViews>
  <sheetFormatPr defaultRowHeight="18"/>
  <cols>
    <col min="1" max="1" width="21.8984375" customWidth="1"/>
    <col min="3" max="3" width="48.19921875" customWidth="1"/>
  </cols>
  <sheetData>
    <row r="1" spans="1:3" ht="37.5" customHeight="1">
      <c r="A1" s="2162" t="s">
        <v>2325</v>
      </c>
      <c r="B1" s="2162"/>
      <c r="C1" s="2162"/>
    </row>
    <row r="2" spans="1:3" ht="19.8">
      <c r="A2" s="2161" t="s">
        <v>2326</v>
      </c>
      <c r="B2" s="2161"/>
      <c r="C2" s="2161"/>
    </row>
    <row r="4" spans="1:3" ht="148.5" customHeight="1">
      <c r="A4" s="1097"/>
      <c r="B4" s="1098" t="s">
        <v>2327</v>
      </c>
      <c r="C4" s="1099" t="s">
        <v>2333</v>
      </c>
    </row>
    <row r="5" spans="1:3" ht="148.5" customHeight="1">
      <c r="A5" s="1097"/>
      <c r="B5" s="1098" t="s">
        <v>2328</v>
      </c>
      <c r="C5" s="1099" t="s">
        <v>2334</v>
      </c>
    </row>
    <row r="6" spans="1:3" ht="148.5" customHeight="1">
      <c r="A6" s="1097"/>
      <c r="B6" s="1098" t="s">
        <v>2329</v>
      </c>
      <c r="C6" s="1099" t="s">
        <v>2335</v>
      </c>
    </row>
    <row r="7" spans="1:3" ht="148.5" customHeight="1">
      <c r="A7" s="1097"/>
      <c r="B7" s="1098" t="s">
        <v>2330</v>
      </c>
      <c r="C7" s="1099" t="s">
        <v>2336</v>
      </c>
    </row>
    <row r="8" spans="1:3" ht="148.5" customHeight="1">
      <c r="A8" s="1097"/>
      <c r="B8" s="1098" t="s">
        <v>2331</v>
      </c>
      <c r="C8" s="1099" t="s">
        <v>2332</v>
      </c>
    </row>
  </sheetData>
  <mergeCells count="2">
    <mergeCell ref="A2:C2"/>
    <mergeCell ref="A1:C1"/>
  </mergeCells>
  <phoneticPr fontId="4"/>
  <printOptions horizontalCentered="1"/>
  <pageMargins left="0.78740157480314965" right="0.78740157480314965" top="0.78740157480314965" bottom="0.78740157480314965" header="0.31496062992125984" footer="0.31496062992125984"/>
  <pageSetup paperSize="9" scale="86"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7171-1DBC-41F4-9376-DCD94294AABD}">
  <sheetPr codeName="Sheet31">
    <pageSetUpPr fitToPage="1"/>
  </sheetPr>
  <dimension ref="A1:L112"/>
  <sheetViews>
    <sheetView zoomScaleNormal="100" zoomScaleSheetLayoutView="100" workbookViewId="0"/>
  </sheetViews>
  <sheetFormatPr defaultColWidth="9" defaultRowHeight="10.8"/>
  <cols>
    <col min="1" max="1" width="4" style="271" customWidth="1"/>
    <col min="2" max="2" width="3.3984375" style="271" bestFit="1" customWidth="1"/>
    <col min="3" max="3" width="2.3984375" style="271" customWidth="1"/>
    <col min="4" max="11" width="9.09765625" style="271" customWidth="1"/>
    <col min="12" max="16384" width="9" style="271"/>
  </cols>
  <sheetData>
    <row r="1" spans="1:11" ht="30" customHeight="1">
      <c r="A1" s="268" t="s">
        <v>574</v>
      </c>
      <c r="B1" s="268"/>
      <c r="C1" s="268"/>
    </row>
    <row r="2" spans="1:11" ht="16.8" thickBot="1">
      <c r="A2" s="268"/>
      <c r="B2" s="268"/>
      <c r="C2" s="268"/>
      <c r="J2" s="503"/>
      <c r="K2" s="504" t="s">
        <v>575</v>
      </c>
    </row>
    <row r="3" spans="1:11" ht="23.25" customHeight="1">
      <c r="A3" s="2232" t="s">
        <v>49</v>
      </c>
      <c r="B3" s="2232"/>
      <c r="C3" s="2224"/>
      <c r="D3" s="2330" t="s">
        <v>576</v>
      </c>
      <c r="E3" s="2330"/>
      <c r="F3" s="2235" t="s">
        <v>577</v>
      </c>
      <c r="G3" s="2330" t="s">
        <v>578</v>
      </c>
      <c r="H3" s="2330" t="s">
        <v>579</v>
      </c>
      <c r="I3" s="2330"/>
      <c r="J3" s="2330"/>
      <c r="K3" s="2238" t="s">
        <v>580</v>
      </c>
    </row>
    <row r="4" spans="1:11" ht="23.25" customHeight="1">
      <c r="A4" s="2234"/>
      <c r="B4" s="2234"/>
      <c r="C4" s="2231"/>
      <c r="D4" s="556" t="s">
        <v>581</v>
      </c>
      <c r="E4" s="556" t="s">
        <v>582</v>
      </c>
      <c r="F4" s="2331"/>
      <c r="G4" s="2332"/>
      <c r="H4" s="552" t="s">
        <v>583</v>
      </c>
      <c r="I4" s="556" t="s">
        <v>584</v>
      </c>
      <c r="J4" s="505" t="s">
        <v>585</v>
      </c>
      <c r="K4" s="2240"/>
    </row>
    <row r="5" spans="1:11" s="509" customFormat="1" ht="23.25" customHeight="1">
      <c r="A5" s="1149"/>
      <c r="B5" s="277"/>
      <c r="C5" s="506"/>
      <c r="D5" s="507" t="s">
        <v>586</v>
      </c>
      <c r="E5" s="507" t="s">
        <v>586</v>
      </c>
      <c r="F5" s="507" t="s">
        <v>587</v>
      </c>
      <c r="G5" s="507" t="s">
        <v>230</v>
      </c>
      <c r="H5" s="508" t="s">
        <v>588</v>
      </c>
      <c r="I5" s="507" t="s">
        <v>230</v>
      </c>
      <c r="J5" s="507" t="s">
        <v>230</v>
      </c>
      <c r="K5" s="275" t="s">
        <v>588</v>
      </c>
    </row>
    <row r="6" spans="1:11" ht="23.25" customHeight="1">
      <c r="A6" s="1150" t="s">
        <v>589</v>
      </c>
      <c r="B6" s="1151">
        <v>27</v>
      </c>
      <c r="C6" s="550" t="s">
        <v>349</v>
      </c>
      <c r="D6" s="546">
        <v>4</v>
      </c>
      <c r="E6" s="546">
        <v>2</v>
      </c>
      <c r="F6" s="546">
        <v>22</v>
      </c>
      <c r="G6" s="546">
        <v>122</v>
      </c>
      <c r="H6" s="541">
        <v>82</v>
      </c>
      <c r="I6" s="546">
        <v>18</v>
      </c>
      <c r="J6" s="546">
        <v>22</v>
      </c>
      <c r="K6" s="541">
        <v>39</v>
      </c>
    </row>
    <row r="7" spans="1:11" ht="23.25" customHeight="1">
      <c r="A7" s="1150"/>
      <c r="B7" s="1151">
        <v>28</v>
      </c>
      <c r="C7" s="550"/>
      <c r="D7" s="546">
        <v>4</v>
      </c>
      <c r="E7" s="546">
        <v>1</v>
      </c>
      <c r="F7" s="546">
        <v>20</v>
      </c>
      <c r="G7" s="546">
        <v>118</v>
      </c>
      <c r="H7" s="541">
        <v>95</v>
      </c>
      <c r="I7" s="546">
        <v>12</v>
      </c>
      <c r="J7" s="546">
        <v>11</v>
      </c>
      <c r="K7" s="541">
        <v>36</v>
      </c>
    </row>
    <row r="8" spans="1:11" ht="23.25" customHeight="1">
      <c r="A8" s="1150"/>
      <c r="B8" s="1151">
        <v>29</v>
      </c>
      <c r="C8" s="550"/>
      <c r="D8" s="546">
        <v>4</v>
      </c>
      <c r="E8" s="546">
        <v>1</v>
      </c>
      <c r="F8" s="546">
        <v>22</v>
      </c>
      <c r="G8" s="546">
        <v>100</v>
      </c>
      <c r="H8" s="541">
        <v>78</v>
      </c>
      <c r="I8" s="546">
        <v>9</v>
      </c>
      <c r="J8" s="546">
        <v>13</v>
      </c>
      <c r="K8" s="541">
        <v>40</v>
      </c>
    </row>
    <row r="9" spans="1:11" ht="23.25" customHeight="1">
      <c r="A9" s="1150"/>
      <c r="B9" s="1151">
        <v>30</v>
      </c>
      <c r="C9" s="550"/>
      <c r="D9" s="546">
        <v>4</v>
      </c>
      <c r="E9" s="546">
        <v>2</v>
      </c>
      <c r="F9" s="546">
        <v>23</v>
      </c>
      <c r="G9" s="510">
        <v>128</v>
      </c>
      <c r="H9" s="511">
        <v>111</v>
      </c>
      <c r="I9" s="510">
        <v>5</v>
      </c>
      <c r="J9" s="510">
        <v>12</v>
      </c>
      <c r="K9" s="511">
        <v>17</v>
      </c>
    </row>
    <row r="10" spans="1:11" ht="23.25" customHeight="1">
      <c r="A10" s="1150" t="s">
        <v>590</v>
      </c>
      <c r="B10" s="1151" t="s">
        <v>591</v>
      </c>
      <c r="C10" s="550" t="s">
        <v>349</v>
      </c>
      <c r="D10" s="546">
        <v>4</v>
      </c>
      <c r="E10" s="546">
        <v>3</v>
      </c>
      <c r="F10" s="546">
        <v>29</v>
      </c>
      <c r="G10" s="546">
        <v>122</v>
      </c>
      <c r="H10" s="541">
        <v>107</v>
      </c>
      <c r="I10" s="546">
        <v>4</v>
      </c>
      <c r="J10" s="546">
        <v>11</v>
      </c>
      <c r="K10" s="541">
        <v>12</v>
      </c>
    </row>
    <row r="11" spans="1:11" ht="23.25" customHeight="1">
      <c r="A11" s="1150"/>
      <c r="B11" s="1151">
        <v>2</v>
      </c>
      <c r="C11" s="550"/>
      <c r="D11" s="546">
        <v>4</v>
      </c>
      <c r="E11" s="546">
        <v>3</v>
      </c>
      <c r="F11" s="546">
        <v>26</v>
      </c>
      <c r="G11" s="546">
        <v>122</v>
      </c>
      <c r="H11" s="541">
        <v>96</v>
      </c>
      <c r="I11" s="546">
        <v>11</v>
      </c>
      <c r="J11" s="546">
        <v>15</v>
      </c>
      <c r="K11" s="541">
        <v>8</v>
      </c>
    </row>
    <row r="12" spans="1:11" ht="23.25" customHeight="1">
      <c r="A12" s="1150"/>
      <c r="B12" s="1151">
        <v>3</v>
      </c>
      <c r="C12" s="550"/>
      <c r="D12" s="546">
        <v>4</v>
      </c>
      <c r="E12" s="546">
        <v>1</v>
      </c>
      <c r="F12" s="546">
        <v>22</v>
      </c>
      <c r="G12" s="546">
        <v>113</v>
      </c>
      <c r="H12" s="541">
        <v>89</v>
      </c>
      <c r="I12" s="546">
        <v>5</v>
      </c>
      <c r="J12" s="546">
        <v>19</v>
      </c>
      <c r="K12" s="541">
        <v>14</v>
      </c>
    </row>
    <row r="13" spans="1:11" ht="23.25" customHeight="1">
      <c r="A13" s="1150"/>
      <c r="B13" s="1151">
        <v>4</v>
      </c>
      <c r="C13" s="550"/>
      <c r="D13" s="546">
        <v>4</v>
      </c>
      <c r="E13" s="546">
        <v>2</v>
      </c>
      <c r="F13" s="546">
        <v>24</v>
      </c>
      <c r="G13" s="546">
        <v>122</v>
      </c>
      <c r="H13" s="541">
        <v>91</v>
      </c>
      <c r="I13" s="546">
        <v>11</v>
      </c>
      <c r="J13" s="546">
        <v>20</v>
      </c>
      <c r="K13" s="541">
        <v>21</v>
      </c>
    </row>
    <row r="14" spans="1:11" ht="23.25" customHeight="1">
      <c r="A14" s="1150"/>
      <c r="B14" s="1151">
        <v>5</v>
      </c>
      <c r="C14" s="550"/>
      <c r="D14" s="546">
        <v>4</v>
      </c>
      <c r="E14" s="546">
        <v>2</v>
      </c>
      <c r="F14" s="546">
        <v>26</v>
      </c>
      <c r="G14" s="546">
        <v>114</v>
      </c>
      <c r="H14" s="541">
        <v>92</v>
      </c>
      <c r="I14" s="546">
        <v>7</v>
      </c>
      <c r="J14" s="546">
        <v>15</v>
      </c>
      <c r="K14" s="541">
        <v>16</v>
      </c>
    </row>
    <row r="15" spans="1:11" ht="23.25" customHeight="1" thickBot="1">
      <c r="A15" s="1152"/>
      <c r="B15" s="975"/>
      <c r="C15" s="551"/>
      <c r="D15" s="557"/>
      <c r="E15" s="557"/>
      <c r="F15" s="557"/>
      <c r="G15" s="557"/>
      <c r="H15" s="974"/>
      <c r="I15" s="557"/>
      <c r="J15" s="557"/>
      <c r="K15" s="974"/>
    </row>
    <row r="16" spans="1:11" ht="23.25" customHeight="1">
      <c r="A16" s="271" t="s">
        <v>592</v>
      </c>
    </row>
    <row r="17" spans="7:12" ht="23.25" customHeight="1">
      <c r="H17" s="36"/>
      <c r="I17" s="36"/>
      <c r="J17" s="36"/>
      <c r="K17" s="36"/>
      <c r="L17" s="11"/>
    </row>
    <row r="18" spans="7:12" ht="23.25" customHeight="1">
      <c r="H18" s="36"/>
      <c r="I18" s="36"/>
      <c r="J18" s="36"/>
      <c r="K18" s="36"/>
      <c r="L18" s="11"/>
    </row>
    <row r="19" spans="7:12" ht="23.25" customHeight="1">
      <c r="H19" s="36"/>
      <c r="I19" s="36"/>
      <c r="J19" s="36"/>
      <c r="K19" s="36"/>
      <c r="L19" s="11"/>
    </row>
    <row r="20" spans="7:12" ht="23.25" customHeight="1">
      <c r="H20" s="36"/>
      <c r="I20" s="36"/>
      <c r="J20" s="36"/>
      <c r="K20" s="36"/>
      <c r="L20" s="11"/>
    </row>
    <row r="21" spans="7:12" ht="23.25" customHeight="1">
      <c r="G21" s="279"/>
      <c r="H21" s="36"/>
      <c r="I21" s="36"/>
      <c r="J21" s="36"/>
      <c r="K21" s="36"/>
      <c r="L21" s="36"/>
    </row>
    <row r="22" spans="7:12" ht="23.25" customHeight="1"/>
    <row r="23" spans="7:12" ht="23.25" customHeight="1"/>
    <row r="24" spans="7:12" ht="23.25" customHeight="1"/>
    <row r="25" spans="7:12" ht="23.25" customHeight="1"/>
    <row r="26" spans="7:12" ht="23.25" customHeight="1"/>
    <row r="27" spans="7:12" ht="23.25" customHeight="1"/>
    <row r="28" spans="7:12" ht="23.25" customHeight="1"/>
    <row r="29" spans="7:12" ht="23.25" customHeight="1"/>
    <row r="30" spans="7:12" ht="23.25" customHeight="1"/>
    <row r="31" spans="7:12" ht="23.25" customHeight="1"/>
    <row r="32" spans="7:1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sheetData>
  <mergeCells count="6">
    <mergeCell ref="K3:K4"/>
    <mergeCell ref="A3:C4"/>
    <mergeCell ref="D3:E3"/>
    <mergeCell ref="F3:F4"/>
    <mergeCell ref="G3:G4"/>
    <mergeCell ref="H3:J3"/>
  </mergeCells>
  <phoneticPr fontId="4"/>
  <printOptions horizontalCentered="1"/>
  <pageMargins left="0.70866141732283472" right="0.70866141732283472" top="0.98425196850393704" bottom="0.74803149606299213" header="0.31496062992125984" footer="0.31496062992125984"/>
  <pageSetup paperSize="9" scale="9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39341-E9E9-42F1-93D3-F370FF8225B7}">
  <sheetPr codeName="Sheet32"/>
  <dimension ref="A1:J18"/>
  <sheetViews>
    <sheetView zoomScaleNormal="100" zoomScaleSheetLayoutView="100" workbookViewId="0">
      <selection activeCell="B1" sqref="B1"/>
    </sheetView>
  </sheetViews>
  <sheetFormatPr defaultColWidth="9" defaultRowHeight="10.8"/>
  <cols>
    <col min="1" max="1" width="3.5" style="11" customWidth="1"/>
    <col min="2" max="3" width="2.19921875" style="11" customWidth="1"/>
    <col min="4" max="10" width="9.09765625" style="11" customWidth="1"/>
    <col min="11" max="11" width="10.09765625" style="11" customWidth="1"/>
    <col min="12" max="16384" width="9" style="11"/>
  </cols>
  <sheetData>
    <row r="1" spans="1:10" ht="30" customHeight="1">
      <c r="A1" s="188" t="s">
        <v>593</v>
      </c>
      <c r="B1" s="188"/>
      <c r="C1" s="188"/>
      <c r="D1" s="30"/>
      <c r="E1" s="30"/>
      <c r="F1" s="30"/>
      <c r="G1" s="30"/>
    </row>
    <row r="2" spans="1:10" ht="16.8" thickBot="1">
      <c r="A2" s="188"/>
      <c r="B2" s="188"/>
      <c r="C2" s="188"/>
      <c r="D2" s="30"/>
      <c r="E2" s="30"/>
      <c r="F2" s="30"/>
      <c r="G2" s="30"/>
      <c r="I2" s="2263" t="s">
        <v>594</v>
      </c>
      <c r="J2" s="2263"/>
    </row>
    <row r="3" spans="1:10" ht="23.25" customHeight="1">
      <c r="A3" s="2187" t="s">
        <v>49</v>
      </c>
      <c r="B3" s="2187"/>
      <c r="C3" s="2180"/>
      <c r="D3" s="2184"/>
      <c r="E3" s="2184"/>
      <c r="F3" s="2184"/>
      <c r="G3" s="2185"/>
      <c r="H3" s="2186" t="s">
        <v>595</v>
      </c>
      <c r="I3" s="2180"/>
      <c r="J3" s="2186" t="s">
        <v>596</v>
      </c>
    </row>
    <row r="4" spans="1:10" ht="23.25" customHeight="1">
      <c r="A4" s="2195"/>
      <c r="B4" s="2195"/>
      <c r="C4" s="2181"/>
      <c r="D4" s="2333" t="s">
        <v>597</v>
      </c>
      <c r="E4" s="2334"/>
      <c r="F4" s="2333" t="s">
        <v>598</v>
      </c>
      <c r="G4" s="2335"/>
      <c r="H4" s="2189"/>
      <c r="I4" s="2182"/>
      <c r="J4" s="2189"/>
    </row>
    <row r="5" spans="1:10" ht="23.25" customHeight="1">
      <c r="A5" s="2196"/>
      <c r="B5" s="2196"/>
      <c r="C5" s="2182"/>
      <c r="D5" s="136" t="s">
        <v>599</v>
      </c>
      <c r="E5" s="136" t="s">
        <v>600</v>
      </c>
      <c r="F5" s="136" t="s">
        <v>599</v>
      </c>
      <c r="G5" s="512" t="s">
        <v>600</v>
      </c>
      <c r="H5" s="130" t="s">
        <v>599</v>
      </c>
      <c r="I5" s="130" t="s">
        <v>600</v>
      </c>
      <c r="J5" s="159" t="s">
        <v>600</v>
      </c>
    </row>
    <row r="6" spans="1:10" ht="23.25" customHeight="1">
      <c r="A6" s="513"/>
      <c r="B6" s="513"/>
      <c r="C6" s="513"/>
      <c r="D6" s="142" t="s">
        <v>229</v>
      </c>
      <c r="E6" s="142" t="s">
        <v>64</v>
      </c>
      <c r="F6" s="142" t="s">
        <v>229</v>
      </c>
      <c r="G6" s="142" t="s">
        <v>64</v>
      </c>
      <c r="H6" s="86" t="s">
        <v>229</v>
      </c>
      <c r="I6" s="86" t="s">
        <v>587</v>
      </c>
      <c r="J6" s="38" t="s">
        <v>601</v>
      </c>
    </row>
    <row r="7" spans="1:10" ht="23.25" customHeight="1">
      <c r="A7" s="83" t="s">
        <v>589</v>
      </c>
      <c r="B7" s="83">
        <v>27</v>
      </c>
      <c r="C7" s="83" t="s">
        <v>602</v>
      </c>
      <c r="D7" s="510">
        <v>8</v>
      </c>
      <c r="E7" s="514">
        <v>6</v>
      </c>
      <c r="F7" s="510">
        <v>8</v>
      </c>
      <c r="G7" s="514">
        <v>6</v>
      </c>
      <c r="H7" s="88">
        <v>7</v>
      </c>
      <c r="I7" s="89">
        <v>13</v>
      </c>
      <c r="J7" s="90">
        <v>13</v>
      </c>
    </row>
    <row r="8" spans="1:10" ht="23.25" customHeight="1">
      <c r="A8" s="83"/>
      <c r="B8" s="83">
        <v>28</v>
      </c>
      <c r="C8" s="83"/>
      <c r="D8" s="510">
        <v>8</v>
      </c>
      <c r="E8" s="514">
        <v>9</v>
      </c>
      <c r="F8" s="510">
        <v>8</v>
      </c>
      <c r="G8" s="514">
        <v>9</v>
      </c>
      <c r="H8" s="88">
        <v>7</v>
      </c>
      <c r="I8" s="89">
        <v>13</v>
      </c>
      <c r="J8" s="90">
        <v>13</v>
      </c>
    </row>
    <row r="9" spans="1:10" ht="23.25" customHeight="1">
      <c r="A9" s="83"/>
      <c r="B9" s="83">
        <v>29</v>
      </c>
      <c r="C9" s="83"/>
      <c r="D9" s="510">
        <v>8</v>
      </c>
      <c r="E9" s="514">
        <v>7</v>
      </c>
      <c r="F9" s="510">
        <v>8</v>
      </c>
      <c r="G9" s="514">
        <v>7</v>
      </c>
      <c r="H9" s="88">
        <v>7</v>
      </c>
      <c r="I9" s="89">
        <v>12</v>
      </c>
      <c r="J9" s="90">
        <v>9</v>
      </c>
    </row>
    <row r="10" spans="1:10" ht="23.25" customHeight="1">
      <c r="A10" s="83"/>
      <c r="B10" s="83">
        <v>30</v>
      </c>
      <c r="C10" s="83"/>
      <c r="D10" s="510">
        <v>8</v>
      </c>
      <c r="E10" s="514">
        <v>6</v>
      </c>
      <c r="F10" s="510">
        <v>8</v>
      </c>
      <c r="G10" s="514">
        <v>6</v>
      </c>
      <c r="H10" s="88">
        <v>7</v>
      </c>
      <c r="I10" s="89">
        <v>12</v>
      </c>
      <c r="J10" s="90">
        <v>14</v>
      </c>
    </row>
    <row r="11" spans="1:10" ht="23.25" customHeight="1">
      <c r="A11" s="83" t="s">
        <v>590</v>
      </c>
      <c r="B11" s="83" t="s">
        <v>591</v>
      </c>
      <c r="C11" s="83" t="s">
        <v>602</v>
      </c>
      <c r="D11" s="510">
        <v>8</v>
      </c>
      <c r="E11" s="514">
        <v>13</v>
      </c>
      <c r="F11" s="510">
        <v>8</v>
      </c>
      <c r="G11" s="514">
        <v>9</v>
      </c>
      <c r="H11" s="88">
        <v>7</v>
      </c>
      <c r="I11" s="89">
        <v>12</v>
      </c>
      <c r="J11" s="90">
        <v>11</v>
      </c>
    </row>
    <row r="12" spans="1:10" ht="23.25" customHeight="1">
      <c r="A12" s="83"/>
      <c r="B12" s="83">
        <v>2</v>
      </c>
      <c r="C12" s="83"/>
      <c r="D12" s="510">
        <v>8</v>
      </c>
      <c r="E12" s="514">
        <v>21</v>
      </c>
      <c r="F12" s="510">
        <v>8</v>
      </c>
      <c r="G12" s="514">
        <v>18</v>
      </c>
      <c r="H12" s="88">
        <v>7</v>
      </c>
      <c r="I12" s="89">
        <v>18</v>
      </c>
      <c r="J12" s="90">
        <v>11</v>
      </c>
    </row>
    <row r="13" spans="1:10" ht="23.25" customHeight="1">
      <c r="A13" s="83"/>
      <c r="B13" s="83">
        <v>3</v>
      </c>
      <c r="C13" s="83"/>
      <c r="D13" s="510">
        <v>8</v>
      </c>
      <c r="E13" s="514">
        <v>10</v>
      </c>
      <c r="F13" s="510">
        <v>8</v>
      </c>
      <c r="G13" s="514">
        <v>10</v>
      </c>
      <c r="H13" s="88">
        <v>7</v>
      </c>
      <c r="I13" s="89">
        <v>14</v>
      </c>
      <c r="J13" s="90">
        <v>9</v>
      </c>
    </row>
    <row r="14" spans="1:10" ht="23.25" customHeight="1">
      <c r="A14" s="83"/>
      <c r="B14" s="83">
        <v>4</v>
      </c>
      <c r="C14" s="83"/>
      <c r="D14" s="510">
        <v>8</v>
      </c>
      <c r="E14" s="514">
        <v>12</v>
      </c>
      <c r="F14" s="510">
        <v>8</v>
      </c>
      <c r="G14" s="514">
        <v>14</v>
      </c>
      <c r="H14" s="88">
        <v>7</v>
      </c>
      <c r="I14" s="89">
        <v>12</v>
      </c>
      <c r="J14" s="90">
        <v>9</v>
      </c>
    </row>
    <row r="15" spans="1:10" ht="23.25" customHeight="1">
      <c r="A15" s="83"/>
      <c r="B15" s="83">
        <v>5</v>
      </c>
      <c r="C15" s="83"/>
      <c r="D15" s="510">
        <v>8</v>
      </c>
      <c r="E15" s="514">
        <v>10</v>
      </c>
      <c r="F15" s="510">
        <v>8</v>
      </c>
      <c r="G15" s="514">
        <v>9</v>
      </c>
      <c r="H15" s="88">
        <v>7</v>
      </c>
      <c r="I15" s="89">
        <v>10</v>
      </c>
      <c r="J15" s="90">
        <v>13</v>
      </c>
    </row>
    <row r="16" spans="1:10" s="171" customFormat="1" ht="23.25" customHeight="1" thickBot="1">
      <c r="A16" s="489"/>
      <c r="B16" s="489"/>
      <c r="C16" s="489"/>
      <c r="D16" s="1153"/>
      <c r="E16" s="1154"/>
      <c r="F16" s="1153"/>
      <c r="G16" s="1154"/>
      <c r="H16" s="469"/>
      <c r="I16" s="1138"/>
      <c r="J16" s="1139"/>
    </row>
    <row r="17" spans="1:7" ht="23.25" customHeight="1">
      <c r="A17" s="11" t="s">
        <v>592</v>
      </c>
      <c r="D17" s="30"/>
      <c r="E17" s="30"/>
      <c r="F17" s="30"/>
      <c r="G17" s="30"/>
    </row>
    <row r="18" spans="1:7" s="134" customFormat="1" ht="13.2">
      <c r="D18" s="515"/>
      <c r="E18" s="515"/>
      <c r="F18" s="515"/>
      <c r="G18" s="515"/>
    </row>
  </sheetData>
  <mergeCells count="7">
    <mergeCell ref="I2:J2"/>
    <mergeCell ref="A3:C5"/>
    <mergeCell ref="D3:G3"/>
    <mergeCell ref="H3:I4"/>
    <mergeCell ref="J3:J4"/>
    <mergeCell ref="D4:E4"/>
    <mergeCell ref="F4:G4"/>
  </mergeCells>
  <phoneticPr fontId="4"/>
  <pageMargins left="0.70866141732283472" right="0.70866141732283472" top="0.98425196850393704"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14DAD-DEE5-4678-95ED-0198B1BA5AC6}">
  <sheetPr codeName="Sheet33">
    <pageSetUpPr fitToPage="1"/>
  </sheetPr>
  <dimension ref="A1:M51"/>
  <sheetViews>
    <sheetView workbookViewId="0">
      <pane ySplit="2" topLeftCell="A18" activePane="bottomLeft" state="frozen"/>
      <selection activeCell="E59" sqref="E59"/>
      <selection pane="bottomLeft"/>
    </sheetView>
  </sheetViews>
  <sheetFormatPr defaultColWidth="9" defaultRowHeight="10.8"/>
  <cols>
    <col min="1" max="1" width="9.59765625" style="11" customWidth="1"/>
    <col min="2" max="2" width="4" style="11" customWidth="1"/>
    <col min="3" max="3" width="9.3984375" style="11" customWidth="1"/>
    <col min="4" max="4" width="10" style="11" customWidth="1"/>
    <col min="5" max="9" width="9.3984375" style="11" customWidth="1"/>
    <col min="10" max="16384" width="9" style="11"/>
  </cols>
  <sheetData>
    <row r="1" spans="1:13" ht="30" customHeight="1" thickBot="1">
      <c r="A1" s="188" t="s">
        <v>603</v>
      </c>
      <c r="G1" s="2222" t="s">
        <v>604</v>
      </c>
      <c r="H1" s="2222"/>
      <c r="I1" s="2222"/>
    </row>
    <row r="2" spans="1:13" s="83" customFormat="1" ht="14.25" customHeight="1">
      <c r="A2" s="32" t="s">
        <v>605</v>
      </c>
      <c r="B2" s="447" t="s">
        <v>606</v>
      </c>
      <c r="C2" s="2183" t="s">
        <v>607</v>
      </c>
      <c r="D2" s="2184"/>
      <c r="E2" s="2184"/>
      <c r="F2" s="2184"/>
      <c r="G2" s="2184"/>
      <c r="H2" s="2184"/>
      <c r="I2" s="2184"/>
    </row>
    <row r="3" spans="1:13">
      <c r="A3" s="516" t="s">
        <v>608</v>
      </c>
      <c r="B3" s="2192">
        <v>22</v>
      </c>
      <c r="C3" s="517" t="s">
        <v>609</v>
      </c>
      <c r="D3" s="517" t="s">
        <v>610</v>
      </c>
      <c r="E3" s="517" t="s">
        <v>611</v>
      </c>
      <c r="F3" s="518" t="s">
        <v>612</v>
      </c>
      <c r="G3" s="517" t="s">
        <v>613</v>
      </c>
      <c r="H3" s="519"/>
      <c r="I3" s="519"/>
      <c r="J3" s="83"/>
    </row>
    <row r="4" spans="1:13">
      <c r="A4" s="520" t="s">
        <v>614</v>
      </c>
      <c r="B4" s="2193"/>
      <c r="C4" s="521">
        <v>9</v>
      </c>
      <c r="D4" s="521">
        <v>5</v>
      </c>
      <c r="E4" s="521">
        <v>4</v>
      </c>
      <c r="F4" s="521">
        <v>2</v>
      </c>
      <c r="G4" s="521">
        <v>2</v>
      </c>
      <c r="H4" s="522"/>
      <c r="I4" s="522"/>
      <c r="J4" s="83"/>
      <c r="L4" s="83"/>
      <c r="M4" s="83"/>
    </row>
    <row r="5" spans="1:13">
      <c r="A5" s="523" t="s">
        <v>615</v>
      </c>
      <c r="B5" s="2192">
        <v>22</v>
      </c>
      <c r="C5" s="518" t="s">
        <v>609</v>
      </c>
      <c r="D5" s="518" t="s">
        <v>611</v>
      </c>
      <c r="E5" s="518" t="s">
        <v>610</v>
      </c>
      <c r="F5" s="518" t="s">
        <v>612</v>
      </c>
      <c r="G5" s="518" t="s">
        <v>613</v>
      </c>
      <c r="H5" s="524"/>
      <c r="I5" s="524"/>
      <c r="J5" s="83"/>
    </row>
    <row r="6" spans="1:13">
      <c r="A6" s="520" t="s">
        <v>616</v>
      </c>
      <c r="B6" s="2193"/>
      <c r="C6" s="521">
        <v>9</v>
      </c>
      <c r="D6" s="521">
        <v>4</v>
      </c>
      <c r="E6" s="521">
        <v>2</v>
      </c>
      <c r="F6" s="521">
        <v>2</v>
      </c>
      <c r="G6" s="521">
        <v>5</v>
      </c>
      <c r="H6" s="522"/>
      <c r="I6" s="522"/>
      <c r="J6" s="83"/>
    </row>
    <row r="7" spans="1:13">
      <c r="A7" s="523" t="s">
        <v>617</v>
      </c>
      <c r="B7" s="2192">
        <v>22</v>
      </c>
      <c r="C7" s="518" t="s">
        <v>609</v>
      </c>
      <c r="D7" s="518" t="s">
        <v>611</v>
      </c>
      <c r="E7" s="518" t="s">
        <v>618</v>
      </c>
      <c r="F7" s="518" t="s">
        <v>610</v>
      </c>
      <c r="G7" s="518" t="s">
        <v>612</v>
      </c>
      <c r="H7" s="524" t="s">
        <v>613</v>
      </c>
      <c r="I7" s="524"/>
      <c r="J7" s="83"/>
    </row>
    <row r="8" spans="1:13">
      <c r="A8" s="520" t="s">
        <v>619</v>
      </c>
      <c r="B8" s="2193"/>
      <c r="C8" s="521">
        <v>9</v>
      </c>
      <c r="D8" s="521">
        <v>4</v>
      </c>
      <c r="E8" s="521">
        <v>3</v>
      </c>
      <c r="F8" s="521">
        <v>2</v>
      </c>
      <c r="G8" s="521">
        <v>2</v>
      </c>
      <c r="H8" s="522">
        <v>2</v>
      </c>
      <c r="I8" s="522"/>
      <c r="J8" s="83"/>
    </row>
    <row r="9" spans="1:13">
      <c r="A9" s="516" t="s">
        <v>620</v>
      </c>
      <c r="B9" s="2198">
        <v>22</v>
      </c>
      <c r="C9" s="517" t="s">
        <v>609</v>
      </c>
      <c r="D9" s="517" t="s">
        <v>621</v>
      </c>
      <c r="E9" s="517" t="s">
        <v>611</v>
      </c>
      <c r="F9" s="517" t="s">
        <v>610</v>
      </c>
      <c r="G9" s="517" t="s">
        <v>622</v>
      </c>
      <c r="H9" s="519" t="s">
        <v>613</v>
      </c>
      <c r="I9" s="519"/>
      <c r="J9" s="83"/>
    </row>
    <row r="10" spans="1:13">
      <c r="A10" s="520" t="s">
        <v>623</v>
      </c>
      <c r="B10" s="2193"/>
      <c r="C10" s="521">
        <v>9</v>
      </c>
      <c r="D10" s="521">
        <v>4</v>
      </c>
      <c r="E10" s="521">
        <v>2</v>
      </c>
      <c r="F10" s="521">
        <v>2</v>
      </c>
      <c r="G10" s="521">
        <v>2</v>
      </c>
      <c r="H10" s="522">
        <v>3</v>
      </c>
      <c r="I10" s="522"/>
      <c r="J10" s="83"/>
      <c r="L10" s="83"/>
      <c r="M10" s="83"/>
    </row>
    <row r="11" spans="1:13">
      <c r="A11" s="516" t="s">
        <v>624</v>
      </c>
      <c r="B11" s="2198">
        <v>22</v>
      </c>
      <c r="C11" s="517" t="s">
        <v>609</v>
      </c>
      <c r="D11" s="517" t="s">
        <v>621</v>
      </c>
      <c r="E11" s="517" t="s">
        <v>611</v>
      </c>
      <c r="F11" s="517" t="s">
        <v>610</v>
      </c>
      <c r="G11" s="517" t="s">
        <v>622</v>
      </c>
      <c r="H11" s="519" t="s">
        <v>613</v>
      </c>
      <c r="I11" s="519"/>
      <c r="J11" s="83"/>
    </row>
    <row r="12" spans="1:13">
      <c r="A12" s="520" t="s">
        <v>625</v>
      </c>
      <c r="B12" s="2193"/>
      <c r="C12" s="521">
        <v>7</v>
      </c>
      <c r="D12" s="521">
        <v>4</v>
      </c>
      <c r="E12" s="521">
        <v>2</v>
      </c>
      <c r="F12" s="521">
        <v>2</v>
      </c>
      <c r="G12" s="521">
        <v>2</v>
      </c>
      <c r="H12" s="522">
        <v>5</v>
      </c>
      <c r="I12" s="522"/>
      <c r="J12" s="83"/>
    </row>
    <row r="13" spans="1:13">
      <c r="A13" s="516" t="s">
        <v>626</v>
      </c>
      <c r="B13" s="2198">
        <v>22</v>
      </c>
      <c r="C13" s="517" t="s">
        <v>609</v>
      </c>
      <c r="D13" s="517" t="s">
        <v>621</v>
      </c>
      <c r="E13" s="517" t="s">
        <v>611</v>
      </c>
      <c r="F13" s="517" t="s">
        <v>610</v>
      </c>
      <c r="G13" s="517" t="s">
        <v>622</v>
      </c>
      <c r="H13" s="519" t="s">
        <v>613</v>
      </c>
      <c r="I13" s="519"/>
      <c r="J13" s="83"/>
    </row>
    <row r="14" spans="1:13">
      <c r="A14" s="520" t="s">
        <v>627</v>
      </c>
      <c r="B14" s="2193"/>
      <c r="C14" s="521">
        <v>7</v>
      </c>
      <c r="D14" s="521">
        <v>4</v>
      </c>
      <c r="E14" s="521">
        <v>3</v>
      </c>
      <c r="F14" s="521">
        <v>2</v>
      </c>
      <c r="G14" s="521">
        <v>2</v>
      </c>
      <c r="H14" s="522">
        <v>4</v>
      </c>
      <c r="I14" s="522"/>
      <c r="J14" s="83"/>
    </row>
    <row r="15" spans="1:13">
      <c r="A15" s="523" t="s">
        <v>628</v>
      </c>
      <c r="B15" s="2192">
        <v>21</v>
      </c>
      <c r="C15" s="518" t="s">
        <v>609</v>
      </c>
      <c r="D15" s="518" t="s">
        <v>621</v>
      </c>
      <c r="E15" s="518" t="s">
        <v>611</v>
      </c>
      <c r="F15" s="518" t="s">
        <v>610</v>
      </c>
      <c r="G15" s="518" t="s">
        <v>622</v>
      </c>
      <c r="H15" s="524" t="s">
        <v>613</v>
      </c>
      <c r="I15" s="524"/>
      <c r="J15" s="83"/>
    </row>
    <row r="16" spans="1:13">
      <c r="A16" s="520" t="s">
        <v>629</v>
      </c>
      <c r="B16" s="2193"/>
      <c r="C16" s="521">
        <v>7</v>
      </c>
      <c r="D16" s="521">
        <v>4</v>
      </c>
      <c r="E16" s="521">
        <v>3</v>
      </c>
      <c r="F16" s="521">
        <v>2</v>
      </c>
      <c r="G16" s="521">
        <v>2</v>
      </c>
      <c r="H16" s="522">
        <v>3</v>
      </c>
      <c r="I16" s="522"/>
      <c r="J16" s="83"/>
    </row>
    <row r="17" spans="1:10">
      <c r="A17" s="523" t="s">
        <v>630</v>
      </c>
      <c r="B17" s="2192">
        <v>23</v>
      </c>
      <c r="C17" s="518" t="s">
        <v>609</v>
      </c>
      <c r="D17" s="518" t="s">
        <v>621</v>
      </c>
      <c r="E17" s="518" t="s">
        <v>611</v>
      </c>
      <c r="F17" s="518" t="s">
        <v>610</v>
      </c>
      <c r="G17" s="518" t="s">
        <v>622</v>
      </c>
      <c r="H17" s="524" t="s">
        <v>613</v>
      </c>
      <c r="I17" s="524"/>
      <c r="J17" s="83"/>
    </row>
    <row r="18" spans="1:10">
      <c r="A18" s="520" t="s">
        <v>631</v>
      </c>
      <c r="B18" s="2193"/>
      <c r="C18" s="521">
        <v>9</v>
      </c>
      <c r="D18" s="521">
        <v>4</v>
      </c>
      <c r="E18" s="521">
        <v>3</v>
      </c>
      <c r="F18" s="521">
        <v>2</v>
      </c>
      <c r="G18" s="521">
        <v>2</v>
      </c>
      <c r="H18" s="522">
        <v>3</v>
      </c>
      <c r="I18" s="522"/>
      <c r="J18" s="83"/>
    </row>
    <row r="19" spans="1:10">
      <c r="A19" s="523" t="s">
        <v>632</v>
      </c>
      <c r="B19" s="2192">
        <v>24</v>
      </c>
      <c r="C19" s="518" t="s">
        <v>609</v>
      </c>
      <c r="D19" s="518" t="s">
        <v>621</v>
      </c>
      <c r="E19" s="518" t="s">
        <v>611</v>
      </c>
      <c r="F19" s="518" t="s">
        <v>610</v>
      </c>
      <c r="G19" s="518" t="s">
        <v>622</v>
      </c>
      <c r="H19" s="524" t="s">
        <v>612</v>
      </c>
      <c r="I19" s="524" t="s">
        <v>613</v>
      </c>
      <c r="J19" s="83"/>
    </row>
    <row r="20" spans="1:10">
      <c r="A20" s="520" t="s">
        <v>633</v>
      </c>
      <c r="B20" s="2193"/>
      <c r="C20" s="521">
        <v>9</v>
      </c>
      <c r="D20" s="521">
        <v>4</v>
      </c>
      <c r="E20" s="521">
        <v>3</v>
      </c>
      <c r="F20" s="521">
        <v>2</v>
      </c>
      <c r="G20" s="521">
        <v>2</v>
      </c>
      <c r="H20" s="522">
        <v>2</v>
      </c>
      <c r="I20" s="522">
        <v>2</v>
      </c>
      <c r="J20" s="83"/>
    </row>
    <row r="21" spans="1:10" ht="12.6" customHeight="1">
      <c r="A21" s="523" t="s">
        <v>634</v>
      </c>
      <c r="B21" s="2192">
        <v>23</v>
      </c>
      <c r="C21" s="518" t="s">
        <v>609</v>
      </c>
      <c r="D21" s="518" t="s">
        <v>621</v>
      </c>
      <c r="E21" s="518" t="s">
        <v>611</v>
      </c>
      <c r="F21" s="518" t="s">
        <v>610</v>
      </c>
      <c r="G21" s="518" t="s">
        <v>622</v>
      </c>
      <c r="H21" s="524" t="s">
        <v>612</v>
      </c>
      <c r="I21" s="524" t="s">
        <v>613</v>
      </c>
      <c r="J21" s="83"/>
    </row>
    <row r="22" spans="1:10" ht="12.6" customHeight="1">
      <c r="A22" s="520" t="s">
        <v>635</v>
      </c>
      <c r="B22" s="2203"/>
      <c r="C22" s="521">
        <v>9</v>
      </c>
      <c r="D22" s="521">
        <v>4</v>
      </c>
      <c r="E22" s="521">
        <v>3</v>
      </c>
      <c r="F22" s="521">
        <v>2</v>
      </c>
      <c r="G22" s="521">
        <v>2</v>
      </c>
      <c r="H22" s="521">
        <v>2</v>
      </c>
      <c r="I22" s="522">
        <v>1</v>
      </c>
      <c r="J22" s="83"/>
    </row>
    <row r="23" spans="1:10" ht="12.6" customHeight="1">
      <c r="A23" s="516" t="s">
        <v>636</v>
      </c>
      <c r="B23" s="2192">
        <v>20</v>
      </c>
      <c r="C23" s="518" t="s">
        <v>609</v>
      </c>
      <c r="D23" s="518" t="s">
        <v>621</v>
      </c>
      <c r="E23" s="518" t="s">
        <v>611</v>
      </c>
      <c r="F23" s="518" t="s">
        <v>622</v>
      </c>
      <c r="G23" s="524" t="s">
        <v>612</v>
      </c>
      <c r="H23" s="518" t="s">
        <v>613</v>
      </c>
      <c r="I23" s="525"/>
      <c r="J23" s="83"/>
    </row>
    <row r="24" spans="1:10" ht="12.6" customHeight="1">
      <c r="A24" s="520" t="s">
        <v>637</v>
      </c>
      <c r="B24" s="2203"/>
      <c r="C24" s="521">
        <v>7</v>
      </c>
      <c r="D24" s="521">
        <v>6</v>
      </c>
      <c r="E24" s="521">
        <v>2</v>
      </c>
      <c r="F24" s="521">
        <v>2</v>
      </c>
      <c r="G24" s="521">
        <v>2</v>
      </c>
      <c r="H24" s="521">
        <v>1</v>
      </c>
      <c r="I24" s="526"/>
      <c r="J24" s="83"/>
    </row>
    <row r="25" spans="1:10" ht="12.6" customHeight="1">
      <c r="A25" s="516" t="s">
        <v>638</v>
      </c>
      <c r="B25" s="2192">
        <v>19</v>
      </c>
      <c r="C25" s="518" t="s">
        <v>609</v>
      </c>
      <c r="D25" s="518" t="s">
        <v>621</v>
      </c>
      <c r="E25" s="518" t="s">
        <v>611</v>
      </c>
      <c r="F25" s="518" t="s">
        <v>622</v>
      </c>
      <c r="G25" s="524" t="s">
        <v>612</v>
      </c>
      <c r="H25" s="518" t="s">
        <v>613</v>
      </c>
      <c r="I25" s="525"/>
      <c r="J25" s="83"/>
    </row>
    <row r="26" spans="1:10" ht="12.6" customHeight="1">
      <c r="A26" s="520" t="s">
        <v>639</v>
      </c>
      <c r="B26" s="2203"/>
      <c r="C26" s="521">
        <v>6</v>
      </c>
      <c r="D26" s="521">
        <v>6</v>
      </c>
      <c r="E26" s="521">
        <v>2</v>
      </c>
      <c r="F26" s="521">
        <v>2</v>
      </c>
      <c r="G26" s="521">
        <v>2</v>
      </c>
      <c r="H26" s="521">
        <v>1</v>
      </c>
      <c r="I26" s="526"/>
      <c r="J26" s="83"/>
    </row>
    <row r="27" spans="1:10" ht="12.6" customHeight="1">
      <c r="A27" s="516" t="s">
        <v>640</v>
      </c>
      <c r="B27" s="2192">
        <v>19</v>
      </c>
      <c r="C27" s="518" t="s">
        <v>609</v>
      </c>
      <c r="D27" s="518" t="s">
        <v>621</v>
      </c>
      <c r="E27" s="518" t="s">
        <v>611</v>
      </c>
      <c r="F27" s="518" t="s">
        <v>622</v>
      </c>
      <c r="G27" s="524" t="s">
        <v>612</v>
      </c>
      <c r="H27" s="518" t="s">
        <v>613</v>
      </c>
      <c r="I27" s="525"/>
      <c r="J27" s="83"/>
    </row>
    <row r="28" spans="1:10" ht="12.6" customHeight="1">
      <c r="A28" s="516" t="s">
        <v>641</v>
      </c>
      <c r="B28" s="2198"/>
      <c r="C28" s="517">
        <v>6</v>
      </c>
      <c r="D28" s="517">
        <v>5</v>
      </c>
      <c r="E28" s="517">
        <v>2</v>
      </c>
      <c r="F28" s="517">
        <v>2</v>
      </c>
      <c r="G28" s="519">
        <v>2</v>
      </c>
      <c r="H28" s="517">
        <v>2</v>
      </c>
      <c r="I28" s="525"/>
      <c r="J28" s="83"/>
    </row>
    <row r="29" spans="1:10" ht="12.6" customHeight="1">
      <c r="A29" s="523" t="s">
        <v>642</v>
      </c>
      <c r="B29" s="2192">
        <v>20</v>
      </c>
      <c r="C29" s="518" t="s">
        <v>609</v>
      </c>
      <c r="D29" s="518" t="s">
        <v>621</v>
      </c>
      <c r="E29" s="518" t="s">
        <v>611</v>
      </c>
      <c r="F29" s="518" t="s">
        <v>622</v>
      </c>
      <c r="G29" s="524" t="s">
        <v>612</v>
      </c>
      <c r="H29" s="518" t="s">
        <v>613</v>
      </c>
      <c r="I29" s="527"/>
      <c r="J29" s="83"/>
    </row>
    <row r="30" spans="1:10" ht="12.6" customHeight="1">
      <c r="A30" s="520" t="s">
        <v>643</v>
      </c>
      <c r="B30" s="2193"/>
      <c r="C30" s="521">
        <v>7</v>
      </c>
      <c r="D30" s="521">
        <v>5</v>
      </c>
      <c r="E30" s="521">
        <v>2</v>
      </c>
      <c r="F30" s="521">
        <v>2</v>
      </c>
      <c r="G30" s="521">
        <v>2</v>
      </c>
      <c r="H30" s="521">
        <v>2</v>
      </c>
      <c r="I30" s="522"/>
      <c r="J30" s="83"/>
    </row>
    <row r="31" spans="1:10" ht="12.6" customHeight="1">
      <c r="A31" s="523" t="s">
        <v>644</v>
      </c>
      <c r="B31" s="2192">
        <v>18</v>
      </c>
      <c r="C31" s="518" t="s">
        <v>609</v>
      </c>
      <c r="D31" s="518" t="s">
        <v>621</v>
      </c>
      <c r="E31" s="518" t="s">
        <v>611</v>
      </c>
      <c r="F31" s="518" t="s">
        <v>622</v>
      </c>
      <c r="G31" s="524" t="s">
        <v>612</v>
      </c>
      <c r="H31" s="518" t="s">
        <v>613</v>
      </c>
      <c r="I31" s="527"/>
      <c r="J31" s="83"/>
    </row>
    <row r="32" spans="1:10" ht="12.6" customHeight="1">
      <c r="A32" s="520" t="s">
        <v>645</v>
      </c>
      <c r="B32" s="2193"/>
      <c r="C32" s="521">
        <v>7</v>
      </c>
      <c r="D32" s="521">
        <v>3</v>
      </c>
      <c r="E32" s="521">
        <v>3</v>
      </c>
      <c r="F32" s="521">
        <v>2</v>
      </c>
      <c r="G32" s="521">
        <v>2</v>
      </c>
      <c r="H32" s="521">
        <v>1</v>
      </c>
      <c r="I32" s="526"/>
      <c r="J32" s="83"/>
    </row>
    <row r="33" spans="1:10" ht="12.6" customHeight="1">
      <c r="A33" s="523" t="s">
        <v>646</v>
      </c>
      <c r="B33" s="2192">
        <v>18</v>
      </c>
      <c r="C33" s="518" t="s">
        <v>609</v>
      </c>
      <c r="D33" s="518" t="s">
        <v>621</v>
      </c>
      <c r="E33" s="518" t="s">
        <v>611</v>
      </c>
      <c r="F33" s="518" t="s">
        <v>622</v>
      </c>
      <c r="G33" s="524" t="s">
        <v>612</v>
      </c>
      <c r="H33" s="518" t="s">
        <v>613</v>
      </c>
      <c r="I33" s="527"/>
      <c r="J33" s="83"/>
    </row>
    <row r="34" spans="1:10" ht="12.6" customHeight="1">
      <c r="A34" s="520" t="s">
        <v>647</v>
      </c>
      <c r="B34" s="2193"/>
      <c r="C34" s="521">
        <v>7</v>
      </c>
      <c r="D34" s="521">
        <v>3</v>
      </c>
      <c r="E34" s="521">
        <v>2</v>
      </c>
      <c r="F34" s="521">
        <v>2</v>
      </c>
      <c r="G34" s="521">
        <v>2</v>
      </c>
      <c r="H34" s="521">
        <v>2</v>
      </c>
      <c r="I34" s="526"/>
      <c r="J34" s="83"/>
    </row>
    <row r="35" spans="1:10" ht="12.6" customHeight="1">
      <c r="A35" s="528" t="s">
        <v>648</v>
      </c>
      <c r="B35" s="2337">
        <v>16</v>
      </c>
      <c r="C35" s="529" t="s">
        <v>609</v>
      </c>
      <c r="D35" s="529" t="s">
        <v>621</v>
      </c>
      <c r="E35" s="529" t="s">
        <v>611</v>
      </c>
      <c r="F35" s="529" t="s">
        <v>622</v>
      </c>
      <c r="G35" s="530" t="s">
        <v>612</v>
      </c>
      <c r="H35" s="529" t="s">
        <v>613</v>
      </c>
      <c r="I35" s="527"/>
      <c r="J35" s="83"/>
    </row>
    <row r="36" spans="1:10" ht="12.6" customHeight="1">
      <c r="A36" s="531" t="s">
        <v>649</v>
      </c>
      <c r="B36" s="2338"/>
      <c r="C36" s="532">
        <v>6</v>
      </c>
      <c r="D36" s="532">
        <v>2</v>
      </c>
      <c r="E36" s="532">
        <v>2</v>
      </c>
      <c r="F36" s="532">
        <v>2</v>
      </c>
      <c r="G36" s="532">
        <v>2</v>
      </c>
      <c r="H36" s="532">
        <v>2</v>
      </c>
      <c r="I36" s="526"/>
      <c r="J36" s="83"/>
    </row>
    <row r="37" spans="1:10" ht="12.6" customHeight="1">
      <c r="A37" s="528" t="s">
        <v>650</v>
      </c>
      <c r="B37" s="2337">
        <v>16</v>
      </c>
      <c r="C37" s="529" t="s">
        <v>609</v>
      </c>
      <c r="D37" s="529" t="s">
        <v>621</v>
      </c>
      <c r="E37" s="529" t="s">
        <v>611</v>
      </c>
      <c r="F37" s="529" t="s">
        <v>622</v>
      </c>
      <c r="G37" s="530" t="s">
        <v>612</v>
      </c>
      <c r="H37" s="529" t="s">
        <v>613</v>
      </c>
      <c r="I37" s="527"/>
      <c r="J37" s="83"/>
    </row>
    <row r="38" spans="1:10" ht="12.6" customHeight="1">
      <c r="A38" s="531" t="s">
        <v>651</v>
      </c>
      <c r="B38" s="2338"/>
      <c r="C38" s="532">
        <v>5</v>
      </c>
      <c r="D38" s="532">
        <v>2</v>
      </c>
      <c r="E38" s="532">
        <v>2</v>
      </c>
      <c r="F38" s="532">
        <v>2</v>
      </c>
      <c r="G38" s="532">
        <v>2</v>
      </c>
      <c r="H38" s="532">
        <v>3</v>
      </c>
      <c r="I38" s="526"/>
      <c r="J38" s="83"/>
    </row>
    <row r="39" spans="1:10" ht="12.6" customHeight="1">
      <c r="A39" s="533" t="s">
        <v>652</v>
      </c>
      <c r="B39" s="2337">
        <v>16</v>
      </c>
      <c r="C39" s="529" t="s">
        <v>609</v>
      </c>
      <c r="D39" s="529" t="s">
        <v>611</v>
      </c>
      <c r="E39" s="529" t="s">
        <v>622</v>
      </c>
      <c r="F39" s="530" t="s">
        <v>612</v>
      </c>
      <c r="G39" s="529" t="s">
        <v>613</v>
      </c>
      <c r="H39" s="529"/>
      <c r="I39" s="527"/>
      <c r="J39" s="83"/>
    </row>
    <row r="40" spans="1:10" ht="12.6" customHeight="1">
      <c r="A40" s="531" t="s">
        <v>653</v>
      </c>
      <c r="B40" s="2338"/>
      <c r="C40" s="532">
        <v>5</v>
      </c>
      <c r="D40" s="532">
        <v>2</v>
      </c>
      <c r="E40" s="532">
        <v>2</v>
      </c>
      <c r="F40" s="532">
        <v>2</v>
      </c>
      <c r="G40" s="532">
        <v>5</v>
      </c>
      <c r="H40" s="532"/>
      <c r="I40" s="526"/>
      <c r="J40" s="83"/>
    </row>
    <row r="41" spans="1:10" ht="12.6" customHeight="1">
      <c r="A41" s="218" t="s">
        <v>654</v>
      </c>
      <c r="B41" s="2192">
        <v>16</v>
      </c>
      <c r="C41" s="518" t="s">
        <v>609</v>
      </c>
      <c r="D41" s="518" t="s">
        <v>611</v>
      </c>
      <c r="E41" s="518" t="s">
        <v>622</v>
      </c>
      <c r="F41" s="518" t="s">
        <v>612</v>
      </c>
      <c r="G41" s="524" t="s">
        <v>613</v>
      </c>
      <c r="H41" s="518"/>
      <c r="I41" s="527"/>
      <c r="J41" s="83"/>
    </row>
    <row r="42" spans="1:10" ht="12.6" customHeight="1">
      <c r="A42" s="213" t="s">
        <v>655</v>
      </c>
      <c r="B42" s="2193"/>
      <c r="C42" s="521">
        <v>6</v>
      </c>
      <c r="D42" s="521">
        <v>2</v>
      </c>
      <c r="E42" s="521">
        <v>2</v>
      </c>
      <c r="F42" s="521">
        <v>2</v>
      </c>
      <c r="G42" s="521">
        <v>4</v>
      </c>
      <c r="H42" s="521"/>
      <c r="I42" s="526"/>
      <c r="J42" s="83"/>
    </row>
    <row r="43" spans="1:10" ht="12.6" customHeight="1">
      <c r="A43" s="218" t="s">
        <v>656</v>
      </c>
      <c r="B43" s="2192">
        <v>16</v>
      </c>
      <c r="C43" s="518" t="s">
        <v>609</v>
      </c>
      <c r="D43" s="518" t="s">
        <v>611</v>
      </c>
      <c r="E43" s="518" t="s">
        <v>657</v>
      </c>
      <c r="F43" s="87" t="s">
        <v>658</v>
      </c>
      <c r="G43" s="524" t="s">
        <v>612</v>
      </c>
      <c r="H43" s="518" t="s">
        <v>613</v>
      </c>
      <c r="I43" s="527"/>
      <c r="J43" s="83"/>
    </row>
    <row r="44" spans="1:10" ht="12.6" customHeight="1">
      <c r="A44" s="213" t="s">
        <v>659</v>
      </c>
      <c r="B44" s="2193"/>
      <c r="C44" s="521">
        <v>6</v>
      </c>
      <c r="D44" s="521">
        <v>2</v>
      </c>
      <c r="E44" s="521">
        <v>2</v>
      </c>
      <c r="F44" s="521">
        <v>2</v>
      </c>
      <c r="G44" s="522">
        <v>2</v>
      </c>
      <c r="H44" s="521">
        <v>2</v>
      </c>
      <c r="I44" s="526"/>
      <c r="J44" s="83"/>
    </row>
    <row r="45" spans="1:10" ht="12.6" customHeight="1">
      <c r="A45" s="218" t="s">
        <v>660</v>
      </c>
      <c r="B45" s="2192">
        <v>16</v>
      </c>
      <c r="C45" s="518" t="s">
        <v>609</v>
      </c>
      <c r="D45" s="518" t="s">
        <v>611</v>
      </c>
      <c r="E45" s="87" t="s">
        <v>658</v>
      </c>
      <c r="F45" s="518" t="s">
        <v>612</v>
      </c>
      <c r="G45" s="524" t="s">
        <v>613</v>
      </c>
      <c r="H45" s="518"/>
      <c r="I45" s="527"/>
      <c r="J45" s="83"/>
    </row>
    <row r="46" spans="1:10" ht="12.6" customHeight="1">
      <c r="A46" s="213" t="s">
        <v>661</v>
      </c>
      <c r="B46" s="2193"/>
      <c r="C46" s="521">
        <v>6</v>
      </c>
      <c r="D46" s="521">
        <v>2</v>
      </c>
      <c r="E46" s="521">
        <v>2</v>
      </c>
      <c r="F46" s="521">
        <v>2</v>
      </c>
      <c r="G46" s="522">
        <v>3</v>
      </c>
      <c r="H46" s="521"/>
      <c r="I46" s="526"/>
      <c r="J46" s="83"/>
    </row>
    <row r="47" spans="1:10" ht="12.6" customHeight="1">
      <c r="A47" s="218" t="s">
        <v>662</v>
      </c>
      <c r="B47" s="2192">
        <v>16</v>
      </c>
      <c r="C47" s="518" t="s">
        <v>609</v>
      </c>
      <c r="D47" s="518" t="s">
        <v>611</v>
      </c>
      <c r="E47" s="518" t="s">
        <v>663</v>
      </c>
      <c r="F47" s="87" t="s">
        <v>658</v>
      </c>
      <c r="G47" s="524" t="s">
        <v>612</v>
      </c>
      <c r="H47" s="518" t="s">
        <v>613</v>
      </c>
      <c r="I47" s="527"/>
      <c r="J47" s="83"/>
    </row>
    <row r="48" spans="1:10" ht="12.6" customHeight="1">
      <c r="A48" s="213" t="s">
        <v>664</v>
      </c>
      <c r="B48" s="2193"/>
      <c r="C48" s="521">
        <v>5</v>
      </c>
      <c r="D48" s="521">
        <v>2</v>
      </c>
      <c r="E48" s="521">
        <v>2</v>
      </c>
      <c r="F48" s="521">
        <v>2</v>
      </c>
      <c r="G48" s="522">
        <v>2</v>
      </c>
      <c r="H48" s="521">
        <v>3</v>
      </c>
      <c r="I48" s="526"/>
      <c r="J48" s="83"/>
    </row>
    <row r="49" spans="1:10" ht="12.6" customHeight="1">
      <c r="A49" s="218"/>
      <c r="B49" s="2192"/>
      <c r="C49" s="518"/>
      <c r="D49" s="518"/>
      <c r="E49" s="518"/>
      <c r="F49" s="518"/>
      <c r="G49" s="524"/>
      <c r="H49" s="518"/>
      <c r="I49" s="527"/>
      <c r="J49" s="83"/>
    </row>
    <row r="50" spans="1:10" ht="12.6" customHeight="1" thickBot="1">
      <c r="A50" s="534"/>
      <c r="B50" s="2336"/>
      <c r="C50" s="536"/>
      <c r="D50" s="536"/>
      <c r="E50" s="536"/>
      <c r="F50" s="536"/>
      <c r="G50" s="537"/>
      <c r="H50" s="536"/>
      <c r="I50" s="538"/>
      <c r="J50" s="83"/>
    </row>
    <row r="51" spans="1:10">
      <c r="A51" s="11" t="s">
        <v>592</v>
      </c>
    </row>
  </sheetData>
  <mergeCells count="26">
    <mergeCell ref="B9:B10"/>
    <mergeCell ref="G1:I1"/>
    <mergeCell ref="C2:I2"/>
    <mergeCell ref="B3:B4"/>
    <mergeCell ref="B5:B6"/>
    <mergeCell ref="B7:B8"/>
    <mergeCell ref="B33:B34"/>
    <mergeCell ref="B11:B12"/>
    <mergeCell ref="B13:B14"/>
    <mergeCell ref="B15:B16"/>
    <mergeCell ref="B17:B18"/>
    <mergeCell ref="B19:B20"/>
    <mergeCell ref="B21:B22"/>
    <mergeCell ref="B23:B24"/>
    <mergeCell ref="B25:B26"/>
    <mergeCell ref="B27:B28"/>
    <mergeCell ref="B29:B30"/>
    <mergeCell ref="B31:B32"/>
    <mergeCell ref="B49:B50"/>
    <mergeCell ref="B47:B48"/>
    <mergeCell ref="B35:B36"/>
    <mergeCell ref="B37:B38"/>
    <mergeCell ref="B39:B40"/>
    <mergeCell ref="B41:B42"/>
    <mergeCell ref="B43:B44"/>
    <mergeCell ref="B45:B46"/>
  </mergeCells>
  <phoneticPr fontId="4"/>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6535-0558-48E6-AEB0-23261022FEA9}">
  <sheetPr codeName="Sheet34">
    <pageSetUpPr fitToPage="1"/>
  </sheetPr>
  <dimension ref="A1:L29"/>
  <sheetViews>
    <sheetView showGridLines="0" zoomScaleNormal="100" workbookViewId="0"/>
  </sheetViews>
  <sheetFormatPr defaultColWidth="9" defaultRowHeight="10.8"/>
  <cols>
    <col min="1" max="1" width="3.8984375" style="11" customWidth="1"/>
    <col min="2" max="2" width="2.59765625" style="11" customWidth="1"/>
    <col min="3" max="3" width="2.5" style="11" customWidth="1"/>
    <col min="4" max="6" width="8.59765625" style="11" customWidth="1"/>
    <col min="7" max="12" width="8.59765625" style="83" customWidth="1"/>
    <col min="13" max="16384" width="9" style="11"/>
  </cols>
  <sheetData>
    <row r="1" spans="1:12" ht="30" customHeight="1">
      <c r="A1" s="188" t="s">
        <v>665</v>
      </c>
      <c r="G1" s="2222"/>
      <c r="H1" s="2222"/>
      <c r="I1" s="11"/>
      <c r="J1" s="11"/>
      <c r="K1" s="11"/>
      <c r="L1" s="11"/>
    </row>
    <row r="2" spans="1:12" ht="16.8" thickBot="1">
      <c r="A2" s="188"/>
      <c r="G2" s="223"/>
      <c r="H2" s="223"/>
      <c r="I2" s="11"/>
      <c r="J2" s="11"/>
      <c r="K2" s="11"/>
      <c r="L2" s="223" t="s">
        <v>666</v>
      </c>
    </row>
    <row r="3" spans="1:12" ht="18.75" customHeight="1">
      <c r="A3" s="2187" t="s">
        <v>49</v>
      </c>
      <c r="B3" s="2187"/>
      <c r="C3" s="2180"/>
      <c r="D3" s="2183" t="s">
        <v>667</v>
      </c>
      <c r="E3" s="2184"/>
      <c r="F3" s="2184"/>
      <c r="G3" s="2184"/>
      <c r="H3" s="2184"/>
      <c r="I3" s="2184"/>
      <c r="J3" s="2184"/>
      <c r="K3" s="2184"/>
      <c r="L3" s="2184"/>
    </row>
    <row r="4" spans="1:12" ht="18.75" customHeight="1">
      <c r="A4" s="2196"/>
      <c r="B4" s="2196"/>
      <c r="C4" s="2182"/>
      <c r="D4" s="130" t="s">
        <v>668</v>
      </c>
      <c r="E4" s="130" t="s">
        <v>669</v>
      </c>
      <c r="F4" s="130" t="s">
        <v>670</v>
      </c>
      <c r="G4" s="130" t="s">
        <v>671</v>
      </c>
      <c r="H4" s="130" t="s">
        <v>672</v>
      </c>
      <c r="I4" s="130" t="s">
        <v>673</v>
      </c>
      <c r="J4" s="130" t="s">
        <v>674</v>
      </c>
      <c r="K4" s="130" t="s">
        <v>494</v>
      </c>
      <c r="L4" s="159" t="s">
        <v>675</v>
      </c>
    </row>
    <row r="5" spans="1:12" ht="18.75" customHeight="1">
      <c r="A5" s="38" t="s">
        <v>589</v>
      </c>
      <c r="B5" s="513">
        <v>13</v>
      </c>
      <c r="C5" s="523" t="s">
        <v>349</v>
      </c>
      <c r="D5" s="87" t="s">
        <v>431</v>
      </c>
      <c r="E5" s="87" t="s">
        <v>431</v>
      </c>
      <c r="F5" s="87" t="s">
        <v>431</v>
      </c>
      <c r="G5" s="87">
        <v>1</v>
      </c>
      <c r="H5" s="87">
        <v>6</v>
      </c>
      <c r="I5" s="87">
        <v>2</v>
      </c>
      <c r="J5" s="87">
        <v>9</v>
      </c>
      <c r="K5" s="87">
        <v>3</v>
      </c>
      <c r="L5" s="225">
        <v>1</v>
      </c>
    </row>
    <row r="6" spans="1:12" ht="18.75" customHeight="1">
      <c r="A6" s="83"/>
      <c r="B6" s="83">
        <v>14</v>
      </c>
      <c r="C6" s="40"/>
      <c r="D6" s="88" t="s">
        <v>431</v>
      </c>
      <c r="E6" s="88" t="s">
        <v>431</v>
      </c>
      <c r="F6" s="88" t="s">
        <v>431</v>
      </c>
      <c r="G6" s="88" t="s">
        <v>431</v>
      </c>
      <c r="H6" s="88">
        <v>6</v>
      </c>
      <c r="I6" s="88">
        <v>3</v>
      </c>
      <c r="J6" s="88">
        <v>7</v>
      </c>
      <c r="K6" s="88">
        <v>4</v>
      </c>
      <c r="L6" s="37">
        <v>2</v>
      </c>
    </row>
    <row r="7" spans="1:12" ht="18.75" customHeight="1">
      <c r="A7" s="83"/>
      <c r="B7" s="83">
        <v>15</v>
      </c>
      <c r="C7" s="40"/>
      <c r="D7" s="88">
        <v>1</v>
      </c>
      <c r="E7" s="88" t="s">
        <v>431</v>
      </c>
      <c r="F7" s="88" t="s">
        <v>431</v>
      </c>
      <c r="G7" s="88" t="s">
        <v>431</v>
      </c>
      <c r="H7" s="88">
        <v>5</v>
      </c>
      <c r="I7" s="88">
        <v>5</v>
      </c>
      <c r="J7" s="88">
        <v>6</v>
      </c>
      <c r="K7" s="88">
        <v>5</v>
      </c>
      <c r="L7" s="37">
        <v>0</v>
      </c>
    </row>
    <row r="8" spans="1:12" ht="18.75" customHeight="1">
      <c r="A8" s="83"/>
      <c r="B8" s="83">
        <v>16</v>
      </c>
      <c r="C8" s="40"/>
      <c r="D8" s="88">
        <v>1</v>
      </c>
      <c r="E8" s="88" t="s">
        <v>431</v>
      </c>
      <c r="F8" s="88" t="s">
        <v>431</v>
      </c>
      <c r="G8" s="88" t="s">
        <v>431</v>
      </c>
      <c r="H8" s="88">
        <v>2</v>
      </c>
      <c r="I8" s="88">
        <v>8</v>
      </c>
      <c r="J8" s="88">
        <v>6</v>
      </c>
      <c r="K8" s="88">
        <v>3</v>
      </c>
      <c r="L8" s="37">
        <v>1</v>
      </c>
    </row>
    <row r="9" spans="1:12" ht="18.75" customHeight="1">
      <c r="A9" s="83"/>
      <c r="B9" s="83">
        <v>17</v>
      </c>
      <c r="C9" s="40"/>
      <c r="D9" s="88">
        <v>1</v>
      </c>
      <c r="E9" s="88" t="s">
        <v>431</v>
      </c>
      <c r="F9" s="88" t="s">
        <v>431</v>
      </c>
      <c r="G9" s="88" t="s">
        <v>431</v>
      </c>
      <c r="H9" s="88">
        <v>2</v>
      </c>
      <c r="I9" s="88">
        <v>8</v>
      </c>
      <c r="J9" s="88">
        <v>3</v>
      </c>
      <c r="K9" s="88">
        <v>6</v>
      </c>
      <c r="L9" s="37">
        <v>1</v>
      </c>
    </row>
    <row r="10" spans="1:12" ht="18.75" customHeight="1">
      <c r="A10" s="83"/>
      <c r="B10" s="83">
        <v>18</v>
      </c>
      <c r="C10" s="40"/>
      <c r="D10" s="88">
        <v>1</v>
      </c>
      <c r="E10" s="88" t="s">
        <v>431</v>
      </c>
      <c r="F10" s="88" t="s">
        <v>431</v>
      </c>
      <c r="G10" s="88" t="s">
        <v>431</v>
      </c>
      <c r="H10" s="88">
        <v>1</v>
      </c>
      <c r="I10" s="88">
        <v>7</v>
      </c>
      <c r="J10" s="88">
        <v>5</v>
      </c>
      <c r="K10" s="88">
        <v>6</v>
      </c>
      <c r="L10" s="37">
        <v>3</v>
      </c>
    </row>
    <row r="11" spans="1:12" ht="18.75" customHeight="1">
      <c r="A11" s="83"/>
      <c r="B11" s="83">
        <v>19</v>
      </c>
      <c r="C11" s="40"/>
      <c r="D11" s="88">
        <v>1</v>
      </c>
      <c r="E11" s="88" t="s">
        <v>431</v>
      </c>
      <c r="F11" s="88" t="s">
        <v>431</v>
      </c>
      <c r="G11" s="88" t="s">
        <v>431</v>
      </c>
      <c r="H11" s="88">
        <v>3</v>
      </c>
      <c r="I11" s="88">
        <v>4</v>
      </c>
      <c r="J11" s="88">
        <v>4</v>
      </c>
      <c r="K11" s="88">
        <v>6</v>
      </c>
      <c r="L11" s="37">
        <v>2</v>
      </c>
    </row>
    <row r="12" spans="1:12" ht="18.75" customHeight="1">
      <c r="A12" s="36"/>
      <c r="B12" s="83">
        <v>20</v>
      </c>
      <c r="C12" s="40"/>
      <c r="D12" s="88" t="s">
        <v>431</v>
      </c>
      <c r="E12" s="88">
        <v>1</v>
      </c>
      <c r="F12" s="88" t="s">
        <v>431</v>
      </c>
      <c r="G12" s="88" t="s">
        <v>431</v>
      </c>
      <c r="H12" s="88">
        <v>3</v>
      </c>
      <c r="I12" s="88">
        <v>4</v>
      </c>
      <c r="J12" s="88">
        <v>4</v>
      </c>
      <c r="K12" s="88">
        <v>6</v>
      </c>
      <c r="L12" s="37">
        <v>1</v>
      </c>
    </row>
    <row r="13" spans="1:12" ht="18.75" customHeight="1">
      <c r="A13" s="83"/>
      <c r="B13" s="83">
        <v>21</v>
      </c>
      <c r="C13" s="40"/>
      <c r="D13" s="88" t="s">
        <v>431</v>
      </c>
      <c r="E13" s="88">
        <v>1</v>
      </c>
      <c r="F13" s="88" t="s">
        <v>431</v>
      </c>
      <c r="G13" s="88" t="s">
        <v>431</v>
      </c>
      <c r="H13" s="88">
        <v>3</v>
      </c>
      <c r="I13" s="88">
        <v>1</v>
      </c>
      <c r="J13" s="88">
        <v>7</v>
      </c>
      <c r="K13" s="88">
        <v>5</v>
      </c>
      <c r="L13" s="37">
        <v>2</v>
      </c>
    </row>
    <row r="14" spans="1:12" ht="18.75" customHeight="1">
      <c r="A14" s="83"/>
      <c r="B14" s="83">
        <v>22</v>
      </c>
      <c r="C14" s="40"/>
      <c r="D14" s="88" t="s">
        <v>431</v>
      </c>
      <c r="E14" s="88">
        <v>1</v>
      </c>
      <c r="F14" s="88" t="s">
        <v>431</v>
      </c>
      <c r="G14" s="88" t="s">
        <v>431</v>
      </c>
      <c r="H14" s="88">
        <v>3</v>
      </c>
      <c r="I14" s="88">
        <v>1</v>
      </c>
      <c r="J14" s="88">
        <v>7</v>
      </c>
      <c r="K14" s="88">
        <v>3</v>
      </c>
      <c r="L14" s="37">
        <v>4</v>
      </c>
    </row>
    <row r="15" spans="1:12" ht="18.75" customHeight="1">
      <c r="A15" s="83"/>
      <c r="B15" s="83">
        <v>23</v>
      </c>
      <c r="C15" s="40"/>
      <c r="D15" s="88" t="s">
        <v>431</v>
      </c>
      <c r="E15" s="88">
        <v>1</v>
      </c>
      <c r="F15" s="88">
        <v>1</v>
      </c>
      <c r="G15" s="88" t="s">
        <v>431</v>
      </c>
      <c r="H15" s="88">
        <v>2</v>
      </c>
      <c r="I15" s="88">
        <v>2</v>
      </c>
      <c r="J15" s="88">
        <v>9</v>
      </c>
      <c r="K15" s="88">
        <v>3</v>
      </c>
      <c r="L15" s="37" t="s">
        <v>431</v>
      </c>
    </row>
    <row r="16" spans="1:12" ht="18.75" customHeight="1">
      <c r="A16" s="83"/>
      <c r="B16" s="83">
        <v>24</v>
      </c>
      <c r="C16" s="40"/>
      <c r="D16" s="88" t="s">
        <v>431</v>
      </c>
      <c r="E16" s="88">
        <v>1</v>
      </c>
      <c r="F16" s="88">
        <v>1</v>
      </c>
      <c r="G16" s="88" t="s">
        <v>431</v>
      </c>
      <c r="H16" s="88" t="s">
        <v>431</v>
      </c>
      <c r="I16" s="88">
        <v>3</v>
      </c>
      <c r="J16" s="88">
        <v>7</v>
      </c>
      <c r="K16" s="88">
        <v>5</v>
      </c>
      <c r="L16" s="37">
        <v>1</v>
      </c>
    </row>
    <row r="17" spans="1:12" ht="18.75" customHeight="1">
      <c r="A17" s="83"/>
      <c r="B17" s="83">
        <v>25</v>
      </c>
      <c r="C17" s="40"/>
      <c r="D17" s="88" t="s">
        <v>431</v>
      </c>
      <c r="E17" s="88" t="s">
        <v>431</v>
      </c>
      <c r="F17" s="88">
        <v>2</v>
      </c>
      <c r="G17" s="88" t="s">
        <v>431</v>
      </c>
      <c r="H17" s="88" t="s">
        <v>431</v>
      </c>
      <c r="I17" s="88">
        <v>3</v>
      </c>
      <c r="J17" s="88">
        <v>7</v>
      </c>
      <c r="K17" s="88">
        <v>5</v>
      </c>
      <c r="L17" s="37">
        <v>1</v>
      </c>
    </row>
    <row r="18" spans="1:12" ht="18.75" customHeight="1">
      <c r="A18" s="83"/>
      <c r="B18" s="83">
        <v>26</v>
      </c>
      <c r="C18" s="40"/>
      <c r="D18" s="88" t="s">
        <v>431</v>
      </c>
      <c r="E18" s="88" t="s">
        <v>431</v>
      </c>
      <c r="F18" s="88">
        <v>1</v>
      </c>
      <c r="G18" s="88">
        <v>1</v>
      </c>
      <c r="H18" s="88" t="s">
        <v>431</v>
      </c>
      <c r="I18" s="88">
        <v>3</v>
      </c>
      <c r="J18" s="88">
        <v>3</v>
      </c>
      <c r="K18" s="88">
        <v>9</v>
      </c>
      <c r="L18" s="37">
        <v>1</v>
      </c>
    </row>
    <row r="19" spans="1:12" ht="18.75" customHeight="1">
      <c r="A19" s="83" t="s">
        <v>589</v>
      </c>
      <c r="B19" s="83">
        <v>27</v>
      </c>
      <c r="C19" s="40" t="s">
        <v>349</v>
      </c>
      <c r="D19" s="88" t="s">
        <v>431</v>
      </c>
      <c r="E19" s="88" t="s">
        <v>431</v>
      </c>
      <c r="F19" s="88">
        <v>2</v>
      </c>
      <c r="G19" s="88">
        <v>2</v>
      </c>
      <c r="H19" s="88" t="s">
        <v>431</v>
      </c>
      <c r="I19" s="88">
        <v>2</v>
      </c>
      <c r="J19" s="88">
        <v>2</v>
      </c>
      <c r="K19" s="88">
        <v>8</v>
      </c>
      <c r="L19" s="37" t="s">
        <v>431</v>
      </c>
    </row>
    <row r="20" spans="1:12" ht="18.75" customHeight="1">
      <c r="A20" s="83"/>
      <c r="B20" s="83">
        <v>28</v>
      </c>
      <c r="C20" s="40"/>
      <c r="D20" s="88" t="s">
        <v>431</v>
      </c>
      <c r="E20" s="88" t="s">
        <v>431</v>
      </c>
      <c r="F20" s="88">
        <v>2</v>
      </c>
      <c r="G20" s="88">
        <v>1</v>
      </c>
      <c r="H20" s="88">
        <v>1</v>
      </c>
      <c r="I20" s="88">
        <v>2</v>
      </c>
      <c r="J20" s="88">
        <v>1</v>
      </c>
      <c r="K20" s="88">
        <v>8</v>
      </c>
      <c r="L20" s="37">
        <v>1</v>
      </c>
    </row>
    <row r="21" spans="1:12" ht="18.75" customHeight="1">
      <c r="A21" s="83"/>
      <c r="B21" s="83">
        <v>29</v>
      </c>
      <c r="C21" s="40"/>
      <c r="D21" s="88" t="s">
        <v>431</v>
      </c>
      <c r="E21" s="88" t="s">
        <v>431</v>
      </c>
      <c r="F21" s="88">
        <v>1</v>
      </c>
      <c r="G21" s="88">
        <v>2</v>
      </c>
      <c r="H21" s="88">
        <v>1</v>
      </c>
      <c r="I21" s="88" t="s">
        <v>305</v>
      </c>
      <c r="J21" s="88">
        <v>2</v>
      </c>
      <c r="K21" s="88">
        <v>6</v>
      </c>
      <c r="L21" s="37">
        <v>4</v>
      </c>
    </row>
    <row r="22" spans="1:12" ht="18.75" customHeight="1">
      <c r="A22" s="83"/>
      <c r="B22" s="83">
        <v>30</v>
      </c>
      <c r="C22" s="40"/>
      <c r="D22" s="88">
        <v>1</v>
      </c>
      <c r="E22" s="88" t="s">
        <v>431</v>
      </c>
      <c r="F22" s="88">
        <v>2</v>
      </c>
      <c r="G22" s="88">
        <v>2</v>
      </c>
      <c r="H22" s="88">
        <v>1</v>
      </c>
      <c r="I22" s="88" t="s">
        <v>431</v>
      </c>
      <c r="J22" s="88">
        <v>2</v>
      </c>
      <c r="K22" s="88">
        <v>6</v>
      </c>
      <c r="L22" s="37">
        <v>4</v>
      </c>
    </row>
    <row r="23" spans="1:12" ht="18.75" customHeight="1">
      <c r="A23" s="83" t="s">
        <v>590</v>
      </c>
      <c r="B23" s="83" t="s">
        <v>676</v>
      </c>
      <c r="C23" s="40" t="s">
        <v>349</v>
      </c>
      <c r="D23" s="88">
        <v>1</v>
      </c>
      <c r="E23" s="88" t="s">
        <v>431</v>
      </c>
      <c r="F23" s="88">
        <v>2</v>
      </c>
      <c r="G23" s="88">
        <v>2</v>
      </c>
      <c r="H23" s="88">
        <v>1</v>
      </c>
      <c r="I23" s="88" t="s">
        <v>431</v>
      </c>
      <c r="J23" s="88">
        <v>2</v>
      </c>
      <c r="K23" s="88">
        <v>3</v>
      </c>
      <c r="L23" s="37">
        <v>5</v>
      </c>
    </row>
    <row r="24" spans="1:12" ht="18.75" customHeight="1">
      <c r="A24" s="83"/>
      <c r="B24" s="83">
        <v>2</v>
      </c>
      <c r="C24" s="40"/>
      <c r="D24" s="88" t="s">
        <v>431</v>
      </c>
      <c r="E24" s="88">
        <v>1</v>
      </c>
      <c r="F24" s="88">
        <v>1</v>
      </c>
      <c r="G24" s="88">
        <v>3</v>
      </c>
      <c r="H24" s="88">
        <v>1</v>
      </c>
      <c r="I24" s="88" t="s">
        <v>431</v>
      </c>
      <c r="J24" s="88">
        <v>2</v>
      </c>
      <c r="K24" s="88">
        <v>2</v>
      </c>
      <c r="L24" s="37">
        <v>6</v>
      </c>
    </row>
    <row r="25" spans="1:12" ht="18.75" customHeight="1">
      <c r="A25" s="83"/>
      <c r="B25" s="83">
        <v>3</v>
      </c>
      <c r="C25" s="40"/>
      <c r="D25" s="88" t="s">
        <v>431</v>
      </c>
      <c r="E25" s="88">
        <v>1</v>
      </c>
      <c r="F25" s="88">
        <v>1</v>
      </c>
      <c r="G25" s="88">
        <v>2</v>
      </c>
      <c r="H25" s="88">
        <v>2</v>
      </c>
      <c r="I25" s="88" t="s">
        <v>431</v>
      </c>
      <c r="J25" s="88">
        <v>2</v>
      </c>
      <c r="K25" s="88">
        <v>1</v>
      </c>
      <c r="L25" s="37">
        <v>7</v>
      </c>
    </row>
    <row r="26" spans="1:12" ht="18.75" customHeight="1">
      <c r="A26" s="83"/>
      <c r="B26" s="83">
        <v>4</v>
      </c>
      <c r="C26" s="40"/>
      <c r="D26" s="88" t="s">
        <v>431</v>
      </c>
      <c r="E26" s="88">
        <v>1</v>
      </c>
      <c r="F26" s="88">
        <v>1</v>
      </c>
      <c r="G26" s="88">
        <v>2</v>
      </c>
      <c r="H26" s="88">
        <v>2</v>
      </c>
      <c r="I26" s="88" t="s">
        <v>431</v>
      </c>
      <c r="J26" s="88">
        <v>1</v>
      </c>
      <c r="K26" s="88">
        <v>2</v>
      </c>
      <c r="L26" s="37">
        <v>7</v>
      </c>
    </row>
    <row r="27" spans="1:12" ht="18.75" customHeight="1">
      <c r="A27" s="83"/>
      <c r="B27" s="83">
        <v>5</v>
      </c>
      <c r="C27" s="40"/>
      <c r="D27" s="88" t="s">
        <v>431</v>
      </c>
      <c r="E27" s="88">
        <v>1</v>
      </c>
      <c r="F27" s="88" t="s">
        <v>431</v>
      </c>
      <c r="G27" s="88">
        <v>2</v>
      </c>
      <c r="H27" s="88">
        <v>2</v>
      </c>
      <c r="I27" s="88" t="s">
        <v>431</v>
      </c>
      <c r="J27" s="88" t="s">
        <v>431</v>
      </c>
      <c r="K27" s="88">
        <v>3</v>
      </c>
      <c r="L27" s="37">
        <v>7</v>
      </c>
    </row>
    <row r="28" spans="1:12" ht="18.75" customHeight="1" thickBot="1">
      <c r="A28" s="92"/>
      <c r="B28" s="92"/>
      <c r="C28" s="220"/>
      <c r="D28" s="449"/>
      <c r="E28" s="449"/>
      <c r="F28" s="449"/>
      <c r="G28" s="449"/>
      <c r="H28" s="449"/>
      <c r="I28" s="449"/>
      <c r="J28" s="449"/>
      <c r="K28" s="449"/>
      <c r="L28" s="481"/>
    </row>
    <row r="29" spans="1:12" ht="18.75" customHeight="1">
      <c r="A29" s="11" t="s">
        <v>592</v>
      </c>
    </row>
  </sheetData>
  <mergeCells count="3">
    <mergeCell ref="G1:H1"/>
    <mergeCell ref="A3:C4"/>
    <mergeCell ref="D3:L3"/>
  </mergeCells>
  <phoneticPr fontId="4"/>
  <printOptions horizontalCentered="1"/>
  <pageMargins left="0.70866141732283472" right="0.70866141732283472" top="0.74803149606299213" bottom="0.74803149606299213" header="0.31496062992125984" footer="0.31496062992125984"/>
  <pageSetup paperSize="9" scale="93"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DFBB6-50FB-4616-9D22-F6267CE48B21}">
  <sheetPr codeName="Sheet35">
    <pageSetUpPr fitToPage="1"/>
  </sheetPr>
  <dimension ref="A1:Q116"/>
  <sheetViews>
    <sheetView zoomScaleNormal="100" workbookViewId="0">
      <pane xSplit="6" ySplit="3" topLeftCell="G4" activePane="bottomRight" state="frozen"/>
      <selection activeCell="H1" sqref="H1:H1048576"/>
      <selection pane="topRight" activeCell="H1" sqref="H1:H1048576"/>
      <selection pane="bottomLeft" activeCell="H1" sqref="H1:H1048576"/>
      <selection pane="bottomRight" activeCell="P20" sqref="P20"/>
    </sheetView>
  </sheetViews>
  <sheetFormatPr defaultColWidth="6.59765625" defaultRowHeight="12.75" customHeight="1"/>
  <cols>
    <col min="1" max="5" width="6.59765625" style="12"/>
    <col min="6" max="6" width="13.8984375" style="12" customWidth="1"/>
    <col min="7" max="12" width="6.796875" style="12" bestFit="1" customWidth="1"/>
    <col min="13" max="15" width="6.69921875" style="12" bestFit="1" customWidth="1"/>
    <col min="16" max="16384" width="6.59765625" style="12"/>
  </cols>
  <sheetData>
    <row r="1" spans="1:15" ht="30" customHeight="1" thickBot="1">
      <c r="A1" s="1985" t="s">
        <v>677</v>
      </c>
      <c r="B1" s="11"/>
      <c r="C1" s="11"/>
      <c r="D1" s="11"/>
      <c r="E1" s="209"/>
      <c r="F1" s="209"/>
      <c r="G1" s="209"/>
      <c r="H1" s="209"/>
      <c r="I1" s="209"/>
      <c r="J1" s="209"/>
      <c r="K1" s="209"/>
      <c r="L1" s="209"/>
      <c r="M1" s="209"/>
      <c r="N1" s="209"/>
      <c r="O1" s="1986"/>
    </row>
    <row r="2" spans="1:15" ht="12.75" customHeight="1">
      <c r="A2" s="2361"/>
      <c r="B2" s="2361"/>
      <c r="C2" s="2361"/>
      <c r="D2" s="2361"/>
      <c r="E2" s="2361"/>
      <c r="F2" s="2363" t="s">
        <v>679</v>
      </c>
      <c r="G2" s="2365" t="s">
        <v>680</v>
      </c>
      <c r="H2" s="2365"/>
      <c r="I2" s="2365"/>
      <c r="J2" s="2365" t="s">
        <v>681</v>
      </c>
      <c r="K2" s="2365"/>
      <c r="L2" s="2365"/>
      <c r="M2" s="2365" t="s">
        <v>682</v>
      </c>
      <c r="N2" s="2365"/>
      <c r="O2" s="2366"/>
    </row>
    <row r="3" spans="1:15" ht="12.75" customHeight="1">
      <c r="A3" s="2362"/>
      <c r="B3" s="2362"/>
      <c r="C3" s="2362"/>
      <c r="D3" s="2362"/>
      <c r="E3" s="2362"/>
      <c r="F3" s="2364"/>
      <c r="G3" s="1984" t="s">
        <v>25</v>
      </c>
      <c r="H3" s="2063" t="s">
        <v>164</v>
      </c>
      <c r="I3" s="2063" t="s">
        <v>165</v>
      </c>
      <c r="J3" s="1984" t="s">
        <v>25</v>
      </c>
      <c r="K3" s="2063" t="s">
        <v>164</v>
      </c>
      <c r="L3" s="2063" t="s">
        <v>165</v>
      </c>
      <c r="M3" s="1984" t="s">
        <v>25</v>
      </c>
      <c r="N3" s="2063" t="s">
        <v>164</v>
      </c>
      <c r="O3" s="2064" t="s">
        <v>165</v>
      </c>
    </row>
    <row r="4" spans="1:15" ht="10.5" customHeight="1">
      <c r="A4" s="2367" t="s">
        <v>683</v>
      </c>
      <c r="B4" s="2367"/>
      <c r="C4" s="2367"/>
      <c r="D4" s="2367"/>
      <c r="E4" s="2367"/>
      <c r="F4" s="2065" t="s">
        <v>684</v>
      </c>
      <c r="G4" s="2368">
        <v>23881</v>
      </c>
      <c r="H4" s="2368">
        <v>11295</v>
      </c>
      <c r="I4" s="2368">
        <v>12586</v>
      </c>
      <c r="J4" s="2356" t="s">
        <v>685</v>
      </c>
      <c r="K4" s="2356" t="s">
        <v>685</v>
      </c>
      <c r="L4" s="2358" t="s">
        <v>685</v>
      </c>
      <c r="M4" s="2359" t="s">
        <v>685</v>
      </c>
      <c r="N4" s="2359" t="s">
        <v>685</v>
      </c>
      <c r="O4" s="2360" t="s">
        <v>685</v>
      </c>
    </row>
    <row r="5" spans="1:15" ht="10.5" customHeight="1">
      <c r="A5" s="2340"/>
      <c r="B5" s="2340"/>
      <c r="C5" s="2340"/>
      <c r="D5" s="2340"/>
      <c r="E5" s="2340"/>
      <c r="F5" s="2066" t="s">
        <v>686</v>
      </c>
      <c r="G5" s="2369"/>
      <c r="H5" s="2369"/>
      <c r="I5" s="2369"/>
      <c r="J5" s="2357"/>
      <c r="K5" s="2357"/>
      <c r="L5" s="2345"/>
      <c r="M5" s="2346"/>
      <c r="N5" s="2346"/>
      <c r="O5" s="2347"/>
    </row>
    <row r="6" spans="1:15" ht="12.75" customHeight="1">
      <c r="A6" s="2340" t="s">
        <v>687</v>
      </c>
      <c r="B6" s="2340"/>
      <c r="C6" s="2340"/>
      <c r="D6" s="2340"/>
      <c r="E6" s="2340"/>
      <c r="F6" s="2066" t="s">
        <v>688</v>
      </c>
      <c r="G6" s="2067">
        <v>23835</v>
      </c>
      <c r="H6" s="2067">
        <v>11265</v>
      </c>
      <c r="I6" s="2067">
        <v>12570</v>
      </c>
      <c r="J6" s="2067">
        <v>19242</v>
      </c>
      <c r="K6" s="2067">
        <v>9106</v>
      </c>
      <c r="L6" s="2067">
        <v>10136</v>
      </c>
      <c r="M6" s="2068">
        <v>80.73</v>
      </c>
      <c r="N6" s="2068">
        <v>80.83</v>
      </c>
      <c r="O6" s="2069">
        <v>80.64</v>
      </c>
    </row>
    <row r="7" spans="1:15" ht="12.75" customHeight="1">
      <c r="A7" s="2340" t="s">
        <v>689</v>
      </c>
      <c r="B7" s="2340"/>
      <c r="C7" s="2340"/>
      <c r="D7" s="2340"/>
      <c r="E7" s="2340"/>
      <c r="F7" s="2066" t="s">
        <v>688</v>
      </c>
      <c r="G7" s="2067">
        <v>23835</v>
      </c>
      <c r="H7" s="2067">
        <v>11265</v>
      </c>
      <c r="I7" s="2067">
        <v>12570</v>
      </c>
      <c r="J7" s="2067">
        <v>19243</v>
      </c>
      <c r="K7" s="2067">
        <v>9107</v>
      </c>
      <c r="L7" s="2067">
        <v>10136</v>
      </c>
      <c r="M7" s="2068">
        <v>80.73</v>
      </c>
      <c r="N7" s="2068">
        <v>80.84</v>
      </c>
      <c r="O7" s="2069">
        <v>80.64</v>
      </c>
    </row>
    <row r="8" spans="1:15" ht="12.75" customHeight="1">
      <c r="A8" s="2340" t="s">
        <v>690</v>
      </c>
      <c r="B8" s="2340"/>
      <c r="C8" s="2340"/>
      <c r="D8" s="2340"/>
      <c r="E8" s="2340"/>
      <c r="F8" s="2066" t="s">
        <v>688</v>
      </c>
      <c r="G8" s="2067">
        <v>23835</v>
      </c>
      <c r="H8" s="2067">
        <v>11265</v>
      </c>
      <c r="I8" s="2067">
        <v>12570</v>
      </c>
      <c r="J8" s="2067">
        <v>19191</v>
      </c>
      <c r="K8" s="2067">
        <v>9071</v>
      </c>
      <c r="L8" s="2067">
        <v>10120</v>
      </c>
      <c r="M8" s="2068">
        <v>80.52</v>
      </c>
      <c r="N8" s="2068">
        <v>80.52</v>
      </c>
      <c r="O8" s="2069">
        <v>80.510000000000005</v>
      </c>
    </row>
    <row r="9" spans="1:15" ht="12.75" customHeight="1">
      <c r="A9" s="2340" t="s">
        <v>691</v>
      </c>
      <c r="B9" s="2340"/>
      <c r="C9" s="2340"/>
      <c r="D9" s="2340"/>
      <c r="E9" s="2340"/>
      <c r="F9" s="2066" t="s">
        <v>692</v>
      </c>
      <c r="G9" s="2067">
        <v>23575</v>
      </c>
      <c r="H9" s="2067">
        <v>11143</v>
      </c>
      <c r="I9" s="2067">
        <v>12432</v>
      </c>
      <c r="J9" s="2067">
        <v>16288</v>
      </c>
      <c r="K9" s="2067">
        <v>7641</v>
      </c>
      <c r="L9" s="2067">
        <v>8647</v>
      </c>
      <c r="M9" s="2068">
        <v>69.09</v>
      </c>
      <c r="N9" s="2068">
        <v>68.569999999999993</v>
      </c>
      <c r="O9" s="2069">
        <v>69.55</v>
      </c>
    </row>
    <row r="10" spans="1:15" ht="12.75" customHeight="1">
      <c r="A10" s="2340" t="s">
        <v>693</v>
      </c>
      <c r="B10" s="2340"/>
      <c r="C10" s="2340"/>
      <c r="D10" s="2340"/>
      <c r="E10" s="2340"/>
      <c r="F10" s="2066" t="s">
        <v>694</v>
      </c>
      <c r="G10" s="2067">
        <v>23580</v>
      </c>
      <c r="H10" s="2067">
        <v>11147</v>
      </c>
      <c r="I10" s="2067">
        <v>12433</v>
      </c>
      <c r="J10" s="2067">
        <v>21706</v>
      </c>
      <c r="K10" s="2067">
        <v>10158</v>
      </c>
      <c r="L10" s="2067">
        <v>11548</v>
      </c>
      <c r="M10" s="2068">
        <v>92.05</v>
      </c>
      <c r="N10" s="2068">
        <v>91.13</v>
      </c>
      <c r="O10" s="2069">
        <v>92.88</v>
      </c>
    </row>
    <row r="11" spans="1:15" ht="12.75" customHeight="1">
      <c r="A11" s="2340" t="s">
        <v>695</v>
      </c>
      <c r="B11" s="2340"/>
      <c r="C11" s="2340"/>
      <c r="D11" s="2340"/>
      <c r="E11" s="2340"/>
      <c r="F11" s="2066" t="s">
        <v>696</v>
      </c>
      <c r="G11" s="2067">
        <v>23751</v>
      </c>
      <c r="H11" s="2067">
        <v>11266</v>
      </c>
      <c r="I11" s="2067">
        <v>12485</v>
      </c>
      <c r="J11" s="2067">
        <v>13926</v>
      </c>
      <c r="K11" s="2067">
        <v>6491</v>
      </c>
      <c r="L11" s="2067">
        <v>7435</v>
      </c>
      <c r="M11" s="2068">
        <v>58.63</v>
      </c>
      <c r="N11" s="2068">
        <v>57.62</v>
      </c>
      <c r="O11" s="2069">
        <v>59.55</v>
      </c>
    </row>
    <row r="12" spans="1:15" ht="12.75" customHeight="1">
      <c r="A12" s="2340" t="s">
        <v>687</v>
      </c>
      <c r="B12" s="2340"/>
      <c r="C12" s="2340"/>
      <c r="D12" s="2340"/>
      <c r="E12" s="2340"/>
      <c r="F12" s="2066" t="s">
        <v>697</v>
      </c>
      <c r="G12" s="2067">
        <v>23962</v>
      </c>
      <c r="H12" s="2067">
        <v>11378</v>
      </c>
      <c r="I12" s="2067">
        <v>12584</v>
      </c>
      <c r="J12" s="2067">
        <v>17162</v>
      </c>
      <c r="K12" s="2067">
        <v>8237</v>
      </c>
      <c r="L12" s="2067">
        <v>8925</v>
      </c>
      <c r="M12" s="2068">
        <v>71.62</v>
      </c>
      <c r="N12" s="2068">
        <v>72.39</v>
      </c>
      <c r="O12" s="2069">
        <v>70.92</v>
      </c>
    </row>
    <row r="13" spans="1:15" ht="12.75" customHeight="1">
      <c r="A13" s="2340" t="s">
        <v>689</v>
      </c>
      <c r="B13" s="2340"/>
      <c r="C13" s="2340"/>
      <c r="D13" s="2340"/>
      <c r="E13" s="2340"/>
      <c r="F13" s="2066" t="s">
        <v>698</v>
      </c>
      <c r="G13" s="2067">
        <v>23987</v>
      </c>
      <c r="H13" s="2067">
        <v>11392</v>
      </c>
      <c r="I13" s="2067">
        <v>12595</v>
      </c>
      <c r="J13" s="2067">
        <v>19514</v>
      </c>
      <c r="K13" s="2067">
        <v>9229</v>
      </c>
      <c r="L13" s="2067">
        <v>10285</v>
      </c>
      <c r="M13" s="2068">
        <v>81.349999999999994</v>
      </c>
      <c r="N13" s="2068">
        <v>81.010000000000005</v>
      </c>
      <c r="O13" s="2069">
        <v>81.66</v>
      </c>
    </row>
    <row r="14" spans="1:15" ht="12.75" customHeight="1">
      <c r="A14" s="2340" t="s">
        <v>690</v>
      </c>
      <c r="B14" s="2340"/>
      <c r="C14" s="2340"/>
      <c r="D14" s="2340"/>
      <c r="E14" s="2340"/>
      <c r="F14" s="2066" t="s">
        <v>698</v>
      </c>
      <c r="G14" s="2067">
        <v>23987</v>
      </c>
      <c r="H14" s="2067">
        <v>11392</v>
      </c>
      <c r="I14" s="2067">
        <v>12595</v>
      </c>
      <c r="J14" s="2067">
        <v>19351</v>
      </c>
      <c r="K14" s="2067">
        <v>9137</v>
      </c>
      <c r="L14" s="2067">
        <v>10214</v>
      </c>
      <c r="M14" s="2068">
        <v>80.67</v>
      </c>
      <c r="N14" s="2068">
        <v>80.209999999999994</v>
      </c>
      <c r="O14" s="2069">
        <v>81.099999999999994</v>
      </c>
    </row>
    <row r="15" spans="1:15" ht="12.75" customHeight="1">
      <c r="A15" s="2340" t="s">
        <v>699</v>
      </c>
      <c r="B15" s="2340"/>
      <c r="C15" s="2340"/>
      <c r="D15" s="2340"/>
      <c r="E15" s="2340"/>
      <c r="F15" s="2066" t="s">
        <v>700</v>
      </c>
      <c r="G15" s="2067">
        <v>23650</v>
      </c>
      <c r="H15" s="2067">
        <v>11212</v>
      </c>
      <c r="I15" s="2067">
        <v>12438</v>
      </c>
      <c r="J15" s="2067">
        <v>20943</v>
      </c>
      <c r="K15" s="2067">
        <v>9740</v>
      </c>
      <c r="L15" s="2067">
        <v>11200</v>
      </c>
      <c r="M15" s="2068">
        <v>88.55</v>
      </c>
      <c r="N15" s="2068">
        <v>86.87</v>
      </c>
      <c r="O15" s="2069">
        <v>90.07</v>
      </c>
    </row>
    <row r="16" spans="1:15" ht="12.75" customHeight="1">
      <c r="A16" s="2340" t="s">
        <v>691</v>
      </c>
      <c r="B16" s="2340"/>
      <c r="C16" s="2340"/>
      <c r="D16" s="2340"/>
      <c r="E16" s="2340"/>
      <c r="F16" s="2066" t="s">
        <v>701</v>
      </c>
      <c r="G16" s="2353">
        <v>24104</v>
      </c>
      <c r="H16" s="2353">
        <v>11461</v>
      </c>
      <c r="I16" s="2353">
        <v>12643</v>
      </c>
      <c r="J16" s="2345" t="s">
        <v>685</v>
      </c>
      <c r="K16" s="2345" t="s">
        <v>685</v>
      </c>
      <c r="L16" s="2345" t="s">
        <v>685</v>
      </c>
      <c r="M16" s="2346" t="s">
        <v>685</v>
      </c>
      <c r="N16" s="2346" t="s">
        <v>685</v>
      </c>
      <c r="O16" s="2347" t="s">
        <v>685</v>
      </c>
    </row>
    <row r="17" spans="1:15" ht="12.75" customHeight="1">
      <c r="A17" s="2340"/>
      <c r="B17" s="2340"/>
      <c r="C17" s="2340"/>
      <c r="D17" s="2340"/>
      <c r="E17" s="2340"/>
      <c r="F17" s="2066" t="s">
        <v>686</v>
      </c>
      <c r="G17" s="2353"/>
      <c r="H17" s="2353"/>
      <c r="I17" s="2353"/>
      <c r="J17" s="2345"/>
      <c r="K17" s="2345"/>
      <c r="L17" s="2345"/>
      <c r="M17" s="2346"/>
      <c r="N17" s="2346"/>
      <c r="O17" s="2347"/>
    </row>
    <row r="18" spans="1:15" ht="12.75" customHeight="1">
      <c r="A18" s="2340" t="s">
        <v>702</v>
      </c>
      <c r="B18" s="2340"/>
      <c r="C18" s="2340"/>
      <c r="D18" s="2340"/>
      <c r="E18" s="2340"/>
      <c r="F18" s="2066" t="s">
        <v>703</v>
      </c>
      <c r="G18" s="2067">
        <v>23761</v>
      </c>
      <c r="H18" s="2067">
        <v>11298</v>
      </c>
      <c r="I18" s="2067">
        <v>12463</v>
      </c>
      <c r="J18" s="2067">
        <v>20648</v>
      </c>
      <c r="K18" s="2067">
        <v>9656</v>
      </c>
      <c r="L18" s="2067">
        <v>10992</v>
      </c>
      <c r="M18" s="2068">
        <v>86.9</v>
      </c>
      <c r="N18" s="2068">
        <v>85.47</v>
      </c>
      <c r="O18" s="2069">
        <v>88.2</v>
      </c>
    </row>
    <row r="19" spans="1:15" ht="12.75" customHeight="1">
      <c r="A19" s="2340" t="s">
        <v>687</v>
      </c>
      <c r="B19" s="2340"/>
      <c r="C19" s="2340"/>
      <c r="D19" s="2340"/>
      <c r="E19" s="2340"/>
      <c r="F19" s="2344" t="s">
        <v>704</v>
      </c>
      <c r="G19" s="2353">
        <v>24205</v>
      </c>
      <c r="H19" s="2353">
        <v>11534</v>
      </c>
      <c r="I19" s="2353">
        <v>12671</v>
      </c>
      <c r="J19" s="2353">
        <v>14026</v>
      </c>
      <c r="K19" s="2353">
        <v>6809</v>
      </c>
      <c r="L19" s="2353">
        <v>7217</v>
      </c>
      <c r="M19" s="2354">
        <v>57.95</v>
      </c>
      <c r="N19" s="2354">
        <v>59.03</v>
      </c>
      <c r="O19" s="2355">
        <v>56.96</v>
      </c>
    </row>
    <row r="20" spans="1:15" ht="12.75" customHeight="1">
      <c r="A20" s="2340"/>
      <c r="B20" s="2340"/>
      <c r="C20" s="2340"/>
      <c r="D20" s="2340"/>
      <c r="E20" s="2340"/>
      <c r="F20" s="2344"/>
      <c r="G20" s="2353"/>
      <c r="H20" s="2353"/>
      <c r="I20" s="2353"/>
      <c r="J20" s="2353"/>
      <c r="K20" s="2353"/>
      <c r="L20" s="2353"/>
      <c r="M20" s="2354"/>
      <c r="N20" s="2354"/>
      <c r="O20" s="2355"/>
    </row>
    <row r="21" spans="1:15" ht="12.75" customHeight="1">
      <c r="A21" s="2340" t="s">
        <v>695</v>
      </c>
      <c r="B21" s="2340"/>
      <c r="C21" s="2340"/>
      <c r="D21" s="2340"/>
      <c r="E21" s="2340"/>
      <c r="F21" s="2066" t="s">
        <v>705</v>
      </c>
      <c r="G21" s="2067">
        <v>24010</v>
      </c>
      <c r="H21" s="2067">
        <v>11443</v>
      </c>
      <c r="I21" s="2067">
        <v>12567</v>
      </c>
      <c r="J21" s="2067">
        <v>12648</v>
      </c>
      <c r="K21" s="2067">
        <v>5994</v>
      </c>
      <c r="L21" s="2067">
        <v>6654</v>
      </c>
      <c r="M21" s="2068">
        <v>52.68</v>
      </c>
      <c r="N21" s="2068">
        <v>52.38</v>
      </c>
      <c r="O21" s="2069">
        <v>52.95</v>
      </c>
    </row>
    <row r="22" spans="1:15" ht="12.75" customHeight="1">
      <c r="A22" s="2340" t="s">
        <v>689</v>
      </c>
      <c r="B22" s="2340"/>
      <c r="C22" s="2340"/>
      <c r="D22" s="2340"/>
      <c r="E22" s="2340"/>
      <c r="F22" s="2066" t="s">
        <v>706</v>
      </c>
      <c r="G22" s="2067">
        <v>24345</v>
      </c>
      <c r="H22" s="2067">
        <v>11629</v>
      </c>
      <c r="I22" s="2067">
        <v>12716</v>
      </c>
      <c r="J22" s="2067">
        <v>18197</v>
      </c>
      <c r="K22" s="2067">
        <v>8723</v>
      </c>
      <c r="L22" s="2067">
        <v>9474</v>
      </c>
      <c r="M22" s="2068">
        <v>74.75</v>
      </c>
      <c r="N22" s="2068">
        <v>75.010000000000005</v>
      </c>
      <c r="O22" s="2069">
        <v>74.5</v>
      </c>
    </row>
    <row r="23" spans="1:15" ht="12.75" customHeight="1">
      <c r="A23" s="2340" t="s">
        <v>690</v>
      </c>
      <c r="B23" s="2340"/>
      <c r="C23" s="2340"/>
      <c r="D23" s="2340"/>
      <c r="E23" s="2340"/>
      <c r="F23" s="2066" t="s">
        <v>706</v>
      </c>
      <c r="G23" s="2067">
        <v>24345</v>
      </c>
      <c r="H23" s="2067">
        <v>11629</v>
      </c>
      <c r="I23" s="2067">
        <v>12716</v>
      </c>
      <c r="J23" s="2067">
        <v>17639</v>
      </c>
      <c r="K23" s="2067">
        <v>8443</v>
      </c>
      <c r="L23" s="2067">
        <v>9196</v>
      </c>
      <c r="M23" s="2068">
        <v>72.45</v>
      </c>
      <c r="N23" s="2068">
        <v>72.599999999999994</v>
      </c>
      <c r="O23" s="2069">
        <v>72.319999999999993</v>
      </c>
    </row>
    <row r="24" spans="1:15" ht="10.5" customHeight="1">
      <c r="A24" s="2340" t="s">
        <v>699</v>
      </c>
      <c r="B24" s="2340"/>
      <c r="C24" s="2340"/>
      <c r="D24" s="2340"/>
      <c r="E24" s="2340"/>
      <c r="F24" s="2066" t="s">
        <v>707</v>
      </c>
      <c r="G24" s="2353">
        <v>24225</v>
      </c>
      <c r="H24" s="2353">
        <v>11543</v>
      </c>
      <c r="I24" s="2353">
        <v>12682</v>
      </c>
      <c r="J24" s="2345" t="s">
        <v>685</v>
      </c>
      <c r="K24" s="2345" t="s">
        <v>685</v>
      </c>
      <c r="L24" s="2345" t="s">
        <v>685</v>
      </c>
      <c r="M24" s="2346" t="s">
        <v>685</v>
      </c>
      <c r="N24" s="2346" t="s">
        <v>685</v>
      </c>
      <c r="O24" s="2347" t="s">
        <v>685</v>
      </c>
    </row>
    <row r="25" spans="1:15" ht="10.5" customHeight="1">
      <c r="A25" s="2340"/>
      <c r="B25" s="2340"/>
      <c r="C25" s="2340"/>
      <c r="D25" s="2340"/>
      <c r="E25" s="2340"/>
      <c r="F25" s="2066" t="s">
        <v>686</v>
      </c>
      <c r="G25" s="2353"/>
      <c r="H25" s="2353"/>
      <c r="I25" s="2353"/>
      <c r="J25" s="2345"/>
      <c r="K25" s="2345"/>
      <c r="L25" s="2345"/>
      <c r="M25" s="2346"/>
      <c r="N25" s="2346"/>
      <c r="O25" s="2347"/>
    </row>
    <row r="26" spans="1:15" ht="12.75" customHeight="1">
      <c r="A26" s="2340" t="s">
        <v>691</v>
      </c>
      <c r="B26" s="2340"/>
      <c r="C26" s="2340"/>
      <c r="D26" s="2340"/>
      <c r="E26" s="2340"/>
      <c r="F26" s="2066" t="s">
        <v>708</v>
      </c>
      <c r="G26" s="2067">
        <v>24384</v>
      </c>
      <c r="H26" s="2067">
        <v>11669</v>
      </c>
      <c r="I26" s="2067">
        <v>12715</v>
      </c>
      <c r="J26" s="2067">
        <v>19052</v>
      </c>
      <c r="K26" s="2067">
        <v>8911</v>
      </c>
      <c r="L26" s="2067">
        <v>10141</v>
      </c>
      <c r="M26" s="2068">
        <v>78.13</v>
      </c>
      <c r="N26" s="2068">
        <v>76.36</v>
      </c>
      <c r="O26" s="2069">
        <v>79.760000000000005</v>
      </c>
    </row>
    <row r="27" spans="1:15" ht="12.75" customHeight="1">
      <c r="A27" s="2340" t="s">
        <v>693</v>
      </c>
      <c r="B27" s="2340"/>
      <c r="C27" s="2340"/>
      <c r="D27" s="2340"/>
      <c r="E27" s="2340"/>
      <c r="F27" s="2066" t="s">
        <v>709</v>
      </c>
      <c r="G27" s="2067">
        <v>24349</v>
      </c>
      <c r="H27" s="2067">
        <v>11660</v>
      </c>
      <c r="I27" s="2067">
        <v>12689</v>
      </c>
      <c r="J27" s="2067">
        <v>20159</v>
      </c>
      <c r="K27" s="2067">
        <v>9419</v>
      </c>
      <c r="L27" s="2067">
        <v>10740</v>
      </c>
      <c r="M27" s="2068">
        <v>82.79</v>
      </c>
      <c r="N27" s="2068">
        <v>80.78</v>
      </c>
      <c r="O27" s="2069">
        <v>84.64</v>
      </c>
    </row>
    <row r="28" spans="1:15" ht="12.75" customHeight="1">
      <c r="A28" s="2340" t="s">
        <v>687</v>
      </c>
      <c r="B28" s="2340"/>
      <c r="C28" s="2340"/>
      <c r="D28" s="2340"/>
      <c r="E28" s="2340"/>
      <c r="F28" s="2066" t="s">
        <v>710</v>
      </c>
      <c r="G28" s="2067">
        <v>24741</v>
      </c>
      <c r="H28" s="2067">
        <v>11855</v>
      </c>
      <c r="I28" s="2067">
        <v>12886</v>
      </c>
      <c r="J28" s="2067">
        <v>12877</v>
      </c>
      <c r="K28" s="2067">
        <v>6375</v>
      </c>
      <c r="L28" s="2067">
        <v>6502</v>
      </c>
      <c r="M28" s="2068">
        <v>52.05</v>
      </c>
      <c r="N28" s="2068">
        <v>53.77</v>
      </c>
      <c r="O28" s="2069">
        <v>50.46</v>
      </c>
    </row>
    <row r="29" spans="1:15" ht="12.75" customHeight="1">
      <c r="A29" s="2340" t="s">
        <v>695</v>
      </c>
      <c r="B29" s="2340"/>
      <c r="C29" s="2340"/>
      <c r="D29" s="2340"/>
      <c r="E29" s="2340"/>
      <c r="F29" s="2066" t="s">
        <v>711</v>
      </c>
      <c r="G29" s="2067">
        <v>24638</v>
      </c>
      <c r="H29" s="2067">
        <v>11828</v>
      </c>
      <c r="I29" s="2067">
        <v>12810</v>
      </c>
      <c r="J29" s="2067">
        <v>16214</v>
      </c>
      <c r="K29" s="2067">
        <v>7861</v>
      </c>
      <c r="L29" s="2067">
        <v>8353</v>
      </c>
      <c r="M29" s="2068">
        <v>65.81</v>
      </c>
      <c r="N29" s="2068">
        <v>66.459999999999994</v>
      </c>
      <c r="O29" s="2069">
        <v>65.209999999999994</v>
      </c>
    </row>
    <row r="30" spans="1:15" ht="12.75" customHeight="1">
      <c r="A30" s="2340" t="s">
        <v>712</v>
      </c>
      <c r="B30" s="2340"/>
      <c r="C30" s="2340"/>
      <c r="D30" s="2340"/>
      <c r="E30" s="2340"/>
      <c r="F30" s="2066" t="s">
        <v>711</v>
      </c>
      <c r="G30" s="2067">
        <v>24811</v>
      </c>
      <c r="H30" s="2067">
        <v>11917</v>
      </c>
      <c r="I30" s="2067">
        <v>12894</v>
      </c>
      <c r="J30" s="2067">
        <v>16212</v>
      </c>
      <c r="K30" s="2067">
        <v>7856</v>
      </c>
      <c r="L30" s="2067">
        <v>8356</v>
      </c>
      <c r="M30" s="2068">
        <v>65.34</v>
      </c>
      <c r="N30" s="2068">
        <v>65.92</v>
      </c>
      <c r="O30" s="2069">
        <v>64.81</v>
      </c>
    </row>
    <row r="31" spans="1:15" ht="12.75" customHeight="1">
      <c r="A31" s="2340" t="s">
        <v>713</v>
      </c>
      <c r="B31" s="2340"/>
      <c r="C31" s="2340"/>
      <c r="D31" s="2340"/>
      <c r="E31" s="2340"/>
      <c r="F31" s="2066" t="s">
        <v>711</v>
      </c>
      <c r="G31" s="2067">
        <v>24811</v>
      </c>
      <c r="H31" s="2067">
        <v>11917</v>
      </c>
      <c r="I31" s="2067">
        <v>12894</v>
      </c>
      <c r="J31" s="2067">
        <v>16204</v>
      </c>
      <c r="K31" s="2067">
        <v>7857</v>
      </c>
      <c r="L31" s="2067">
        <v>8347</v>
      </c>
      <c r="M31" s="2068">
        <v>65.31</v>
      </c>
      <c r="N31" s="2068">
        <v>65.930000000000007</v>
      </c>
      <c r="O31" s="2069">
        <v>64.739999999999995</v>
      </c>
    </row>
    <row r="32" spans="1:15" ht="12.75" customHeight="1">
      <c r="A32" s="2340" t="s">
        <v>690</v>
      </c>
      <c r="B32" s="2340"/>
      <c r="C32" s="2340"/>
      <c r="D32" s="2340"/>
      <c r="E32" s="2340"/>
      <c r="F32" s="2066" t="s">
        <v>711</v>
      </c>
      <c r="G32" s="2067">
        <v>24811</v>
      </c>
      <c r="H32" s="2067">
        <v>11917</v>
      </c>
      <c r="I32" s="2067">
        <v>12894</v>
      </c>
      <c r="J32" s="2067">
        <v>15686</v>
      </c>
      <c r="K32" s="2067">
        <v>7590</v>
      </c>
      <c r="L32" s="2067">
        <v>8096</v>
      </c>
      <c r="M32" s="2068">
        <v>63.22</v>
      </c>
      <c r="N32" s="2068">
        <v>63.69</v>
      </c>
      <c r="O32" s="2069">
        <v>62.79</v>
      </c>
    </row>
    <row r="33" spans="1:15" ht="10.5" customHeight="1">
      <c r="A33" s="2340" t="s">
        <v>699</v>
      </c>
      <c r="B33" s="2340"/>
      <c r="C33" s="2340"/>
      <c r="D33" s="2340"/>
      <c r="E33" s="2340"/>
      <c r="F33" s="2066" t="s">
        <v>714</v>
      </c>
      <c r="G33" s="2353">
        <v>24988</v>
      </c>
      <c r="H33" s="2353">
        <v>12006</v>
      </c>
      <c r="I33" s="2353">
        <v>12982</v>
      </c>
      <c r="J33" s="2345" t="s">
        <v>685</v>
      </c>
      <c r="K33" s="2345" t="s">
        <v>685</v>
      </c>
      <c r="L33" s="2345" t="s">
        <v>685</v>
      </c>
      <c r="M33" s="2346" t="s">
        <v>685</v>
      </c>
      <c r="N33" s="2346" t="s">
        <v>685</v>
      </c>
      <c r="O33" s="2347" t="s">
        <v>685</v>
      </c>
    </row>
    <row r="34" spans="1:15" ht="10.5" customHeight="1">
      <c r="A34" s="2340"/>
      <c r="B34" s="2340"/>
      <c r="C34" s="2340"/>
      <c r="D34" s="2340"/>
      <c r="E34" s="2340"/>
      <c r="F34" s="2066" t="s">
        <v>686</v>
      </c>
      <c r="G34" s="2353"/>
      <c r="H34" s="2353"/>
      <c r="I34" s="2353"/>
      <c r="J34" s="2345"/>
      <c r="K34" s="2345"/>
      <c r="L34" s="2345"/>
      <c r="M34" s="2346"/>
      <c r="N34" s="2346"/>
      <c r="O34" s="2347"/>
    </row>
    <row r="35" spans="1:15" ht="12.75" customHeight="1">
      <c r="A35" s="2340" t="s">
        <v>687</v>
      </c>
      <c r="B35" s="2340"/>
      <c r="C35" s="2340"/>
      <c r="D35" s="2340"/>
      <c r="E35" s="2340"/>
      <c r="F35" s="2066" t="s">
        <v>715</v>
      </c>
      <c r="G35" s="2067">
        <v>24933</v>
      </c>
      <c r="H35" s="2067">
        <v>11976</v>
      </c>
      <c r="I35" s="2067">
        <v>12957</v>
      </c>
      <c r="J35" s="2067">
        <v>15631</v>
      </c>
      <c r="K35" s="2067">
        <v>7620</v>
      </c>
      <c r="L35" s="2067">
        <v>8011</v>
      </c>
      <c r="M35" s="2068">
        <v>62.69</v>
      </c>
      <c r="N35" s="2068">
        <v>63.63</v>
      </c>
      <c r="O35" s="2069">
        <v>61.83</v>
      </c>
    </row>
    <row r="36" spans="1:15" ht="11.25" customHeight="1">
      <c r="A36" s="2340" t="s">
        <v>691</v>
      </c>
      <c r="B36" s="2340"/>
      <c r="C36" s="2340"/>
      <c r="D36" s="2340"/>
      <c r="E36" s="2340"/>
      <c r="F36" s="2066" t="s">
        <v>716</v>
      </c>
      <c r="G36" s="2353">
        <v>25130</v>
      </c>
      <c r="H36" s="2353">
        <v>12092</v>
      </c>
      <c r="I36" s="2353">
        <v>13038</v>
      </c>
      <c r="J36" s="2345" t="s">
        <v>685</v>
      </c>
      <c r="K36" s="2345" t="s">
        <v>685</v>
      </c>
      <c r="L36" s="2345" t="s">
        <v>685</v>
      </c>
      <c r="M36" s="2346" t="s">
        <v>685</v>
      </c>
      <c r="N36" s="2346" t="s">
        <v>685</v>
      </c>
      <c r="O36" s="2347" t="s">
        <v>685</v>
      </c>
    </row>
    <row r="37" spans="1:15" ht="10.5" customHeight="1">
      <c r="A37" s="2340"/>
      <c r="B37" s="2340"/>
      <c r="C37" s="2340"/>
      <c r="D37" s="2340"/>
      <c r="E37" s="2340"/>
      <c r="F37" s="2066" t="s">
        <v>686</v>
      </c>
      <c r="G37" s="2353"/>
      <c r="H37" s="2353"/>
      <c r="I37" s="2353"/>
      <c r="J37" s="2345"/>
      <c r="K37" s="2345"/>
      <c r="L37" s="2345"/>
      <c r="M37" s="2346"/>
      <c r="N37" s="2346"/>
      <c r="O37" s="2347"/>
    </row>
    <row r="38" spans="1:15" ht="12.75" customHeight="1">
      <c r="A38" s="2340" t="s">
        <v>693</v>
      </c>
      <c r="B38" s="2340"/>
      <c r="C38" s="2340"/>
      <c r="D38" s="2340"/>
      <c r="E38" s="2340"/>
      <c r="F38" s="2066" t="s">
        <v>717</v>
      </c>
      <c r="G38" s="2067">
        <v>24715</v>
      </c>
      <c r="H38" s="2067">
        <v>11889</v>
      </c>
      <c r="I38" s="2067">
        <v>12826</v>
      </c>
      <c r="J38" s="2067">
        <v>20227</v>
      </c>
      <c r="K38" s="2067">
        <v>9535</v>
      </c>
      <c r="L38" s="2067">
        <v>10692</v>
      </c>
      <c r="M38" s="2068">
        <v>81.84</v>
      </c>
      <c r="N38" s="2068">
        <v>80.2</v>
      </c>
      <c r="O38" s="2069">
        <v>83.36</v>
      </c>
    </row>
    <row r="39" spans="1:15" ht="12.75" customHeight="1">
      <c r="A39" s="2340" t="s">
        <v>718</v>
      </c>
      <c r="B39" s="2340"/>
      <c r="C39" s="2340"/>
      <c r="D39" s="2340"/>
      <c r="E39" s="2340"/>
      <c r="F39" s="2066" t="s">
        <v>719</v>
      </c>
      <c r="G39" s="2067">
        <v>25109</v>
      </c>
      <c r="H39" s="2067">
        <v>12076</v>
      </c>
      <c r="I39" s="2067">
        <v>13033</v>
      </c>
      <c r="J39" s="2067">
        <v>11896</v>
      </c>
      <c r="K39" s="2067">
        <v>5867</v>
      </c>
      <c r="L39" s="2067">
        <v>6029</v>
      </c>
      <c r="M39" s="2068">
        <v>47.38</v>
      </c>
      <c r="N39" s="2068">
        <v>48.58</v>
      </c>
      <c r="O39" s="2069">
        <v>46.26</v>
      </c>
    </row>
    <row r="40" spans="1:15" ht="12.75" customHeight="1">
      <c r="A40" s="2340" t="s">
        <v>712</v>
      </c>
      <c r="B40" s="2340"/>
      <c r="C40" s="2340"/>
      <c r="D40" s="2340"/>
      <c r="E40" s="2340"/>
      <c r="F40" s="2066" t="s">
        <v>720</v>
      </c>
      <c r="G40" s="2067">
        <v>25041</v>
      </c>
      <c r="H40" s="2067">
        <v>12035</v>
      </c>
      <c r="I40" s="2067">
        <v>13006</v>
      </c>
      <c r="J40" s="2067">
        <v>16812</v>
      </c>
      <c r="K40" s="2067">
        <v>8201</v>
      </c>
      <c r="L40" s="2067">
        <v>8611</v>
      </c>
      <c r="M40" s="2068">
        <v>67.14</v>
      </c>
      <c r="N40" s="2068">
        <v>68.14</v>
      </c>
      <c r="O40" s="2069">
        <v>66.209999999999994</v>
      </c>
    </row>
    <row r="41" spans="1:15" ht="12.75" customHeight="1">
      <c r="A41" s="2340" t="s">
        <v>713</v>
      </c>
      <c r="B41" s="2340"/>
      <c r="C41" s="2340"/>
      <c r="D41" s="2340"/>
      <c r="E41" s="2340"/>
      <c r="F41" s="2066" t="s">
        <v>720</v>
      </c>
      <c r="G41" s="2067">
        <v>25053</v>
      </c>
      <c r="H41" s="2067">
        <v>12043</v>
      </c>
      <c r="I41" s="2067">
        <v>13010</v>
      </c>
      <c r="J41" s="2067">
        <v>16808</v>
      </c>
      <c r="K41" s="2067">
        <v>8200</v>
      </c>
      <c r="L41" s="2067">
        <v>8608</v>
      </c>
      <c r="M41" s="2068">
        <v>67.09</v>
      </c>
      <c r="N41" s="2068">
        <v>68.09</v>
      </c>
      <c r="O41" s="2069">
        <v>66.16</v>
      </c>
    </row>
    <row r="42" spans="1:15" ht="12.75" customHeight="1">
      <c r="A42" s="2340" t="s">
        <v>690</v>
      </c>
      <c r="B42" s="2340"/>
      <c r="C42" s="2340"/>
      <c r="D42" s="2340"/>
      <c r="E42" s="2340"/>
      <c r="F42" s="2066" t="s">
        <v>720</v>
      </c>
      <c r="G42" s="2067">
        <v>25041</v>
      </c>
      <c r="H42" s="2067">
        <v>12035</v>
      </c>
      <c r="I42" s="2067">
        <v>13006</v>
      </c>
      <c r="J42" s="2067">
        <v>16447</v>
      </c>
      <c r="K42" s="2067">
        <v>8011</v>
      </c>
      <c r="L42" s="2067">
        <v>8436</v>
      </c>
      <c r="M42" s="2068">
        <v>65.680000000000007</v>
      </c>
      <c r="N42" s="2068">
        <v>66.56</v>
      </c>
      <c r="O42" s="2069">
        <v>64.86</v>
      </c>
    </row>
    <row r="43" spans="1:15" ht="12.75" customHeight="1">
      <c r="A43" s="2340" t="s">
        <v>695</v>
      </c>
      <c r="B43" s="2340"/>
      <c r="C43" s="2340"/>
      <c r="D43" s="2340"/>
      <c r="E43" s="2340"/>
      <c r="F43" s="2066" t="s">
        <v>721</v>
      </c>
      <c r="G43" s="2067">
        <v>24843</v>
      </c>
      <c r="H43" s="2067">
        <v>11925</v>
      </c>
      <c r="I43" s="2067">
        <v>12918</v>
      </c>
      <c r="J43" s="2067">
        <v>17562</v>
      </c>
      <c r="K43" s="2067">
        <v>8366</v>
      </c>
      <c r="L43" s="2067">
        <v>9196</v>
      </c>
      <c r="M43" s="2068">
        <v>70.69</v>
      </c>
      <c r="N43" s="2068">
        <v>70.16</v>
      </c>
      <c r="O43" s="2069">
        <v>71.19</v>
      </c>
    </row>
    <row r="44" spans="1:15" ht="12.75" customHeight="1">
      <c r="A44" s="2340" t="s">
        <v>722</v>
      </c>
      <c r="B44" s="2340"/>
      <c r="C44" s="2340"/>
      <c r="D44" s="2340"/>
      <c r="E44" s="2340"/>
      <c r="F44" s="2066" t="s">
        <v>723</v>
      </c>
      <c r="G44" s="2067">
        <v>24977</v>
      </c>
      <c r="H44" s="2067">
        <v>12011</v>
      </c>
      <c r="I44" s="2067">
        <v>12966</v>
      </c>
      <c r="J44" s="2067">
        <v>15222</v>
      </c>
      <c r="K44" s="2067">
        <v>7509</v>
      </c>
      <c r="L44" s="2067">
        <v>7713</v>
      </c>
      <c r="M44" s="2068">
        <v>60.94</v>
      </c>
      <c r="N44" s="2068">
        <v>62.52</v>
      </c>
      <c r="O44" s="2069">
        <v>59.49</v>
      </c>
    </row>
    <row r="45" spans="1:15" ht="12.75" customHeight="1">
      <c r="A45" s="2340" t="s">
        <v>724</v>
      </c>
      <c r="B45" s="2340"/>
      <c r="C45" s="2340"/>
      <c r="D45" s="2340"/>
      <c r="E45" s="2340"/>
      <c r="F45" s="2066" t="s">
        <v>723</v>
      </c>
      <c r="G45" s="2067">
        <v>24988</v>
      </c>
      <c r="H45" s="2067">
        <v>12017</v>
      </c>
      <c r="I45" s="2067">
        <v>12971</v>
      </c>
      <c r="J45" s="2067">
        <v>15224</v>
      </c>
      <c r="K45" s="2067">
        <v>7510</v>
      </c>
      <c r="L45" s="2067">
        <v>7714</v>
      </c>
      <c r="M45" s="2068">
        <v>60.93</v>
      </c>
      <c r="N45" s="2068">
        <v>62.49</v>
      </c>
      <c r="O45" s="2069">
        <v>59.47</v>
      </c>
    </row>
    <row r="46" spans="1:15" ht="12.75" customHeight="1">
      <c r="A46" s="2340" t="s">
        <v>725</v>
      </c>
      <c r="B46" s="2340"/>
      <c r="C46" s="2340"/>
      <c r="D46" s="2340"/>
      <c r="E46" s="2340"/>
      <c r="F46" s="2066" t="s">
        <v>726</v>
      </c>
      <c r="G46" s="2067">
        <v>24565</v>
      </c>
      <c r="H46" s="2067">
        <v>11795</v>
      </c>
      <c r="I46" s="2067">
        <v>12770</v>
      </c>
      <c r="J46" s="2067">
        <v>18899</v>
      </c>
      <c r="K46" s="2067">
        <v>8968</v>
      </c>
      <c r="L46" s="2067">
        <v>9931</v>
      </c>
      <c r="M46" s="2068">
        <v>76.930000000000007</v>
      </c>
      <c r="N46" s="2068">
        <v>76.03</v>
      </c>
      <c r="O46" s="2069">
        <v>77.77</v>
      </c>
    </row>
    <row r="47" spans="1:15" ht="12.75" customHeight="1">
      <c r="A47" s="2340" t="s">
        <v>727</v>
      </c>
      <c r="B47" s="2340"/>
      <c r="C47" s="2340"/>
      <c r="D47" s="2340"/>
      <c r="E47" s="2340"/>
      <c r="F47" s="2066" t="s">
        <v>728</v>
      </c>
      <c r="G47" s="2067">
        <v>24741</v>
      </c>
      <c r="H47" s="2067">
        <v>11891</v>
      </c>
      <c r="I47" s="2067">
        <v>12850</v>
      </c>
      <c r="J47" s="2067">
        <v>18539</v>
      </c>
      <c r="K47" s="2067">
        <v>8869</v>
      </c>
      <c r="L47" s="2067">
        <v>9670</v>
      </c>
      <c r="M47" s="2068">
        <v>74.930000000000007</v>
      </c>
      <c r="N47" s="2068">
        <v>74.59</v>
      </c>
      <c r="O47" s="2069">
        <v>75.25</v>
      </c>
    </row>
    <row r="48" spans="1:15" ht="12.75" customHeight="1">
      <c r="A48" s="2340" t="s">
        <v>729</v>
      </c>
      <c r="B48" s="2340"/>
      <c r="C48" s="2340"/>
      <c r="D48" s="2340"/>
      <c r="E48" s="2340"/>
      <c r="F48" s="2066" t="s">
        <v>730</v>
      </c>
      <c r="G48" s="2070">
        <v>24481</v>
      </c>
      <c r="H48" s="2070">
        <v>11747</v>
      </c>
      <c r="I48" s="2070">
        <v>12734</v>
      </c>
      <c r="J48" s="2070">
        <v>16678</v>
      </c>
      <c r="K48" s="2070">
        <v>7989</v>
      </c>
      <c r="L48" s="2070">
        <v>8689</v>
      </c>
      <c r="M48" s="2071">
        <v>68.13</v>
      </c>
      <c r="N48" s="2071">
        <v>68.010000000000005</v>
      </c>
      <c r="O48" s="2072">
        <v>68.23</v>
      </c>
    </row>
    <row r="49" spans="1:15" ht="12.75" customHeight="1">
      <c r="A49" s="2340" t="s">
        <v>702</v>
      </c>
      <c r="B49" s="2340"/>
      <c r="C49" s="2340"/>
      <c r="D49" s="2340"/>
      <c r="E49" s="2340"/>
      <c r="F49" s="2066" t="s">
        <v>731</v>
      </c>
      <c r="G49" s="2070">
        <v>24437</v>
      </c>
      <c r="H49" s="2070">
        <v>11728</v>
      </c>
      <c r="I49" s="2070">
        <v>12709</v>
      </c>
      <c r="J49" s="2070">
        <v>8911</v>
      </c>
      <c r="K49" s="2070">
        <v>9956</v>
      </c>
      <c r="L49" s="2070">
        <v>18867</v>
      </c>
      <c r="M49" s="2071">
        <v>77.209999999999994</v>
      </c>
      <c r="N49" s="2071">
        <v>75.98</v>
      </c>
      <c r="O49" s="2072">
        <v>78.34</v>
      </c>
    </row>
    <row r="50" spans="1:15" ht="12.75" customHeight="1">
      <c r="A50" s="2340" t="s">
        <v>712</v>
      </c>
      <c r="B50" s="2340"/>
      <c r="C50" s="2340"/>
      <c r="D50" s="2340"/>
      <c r="E50" s="2340"/>
      <c r="F50" s="2066" t="s">
        <v>732</v>
      </c>
      <c r="G50" s="2070">
        <v>24720</v>
      </c>
      <c r="H50" s="2070">
        <v>11870</v>
      </c>
      <c r="I50" s="2070">
        <v>12850</v>
      </c>
      <c r="J50" s="2070">
        <v>16481</v>
      </c>
      <c r="K50" s="2070">
        <v>8082</v>
      </c>
      <c r="L50" s="2070">
        <v>8399</v>
      </c>
      <c r="M50" s="2071">
        <v>66.67</v>
      </c>
      <c r="N50" s="2071">
        <v>68.09</v>
      </c>
      <c r="O50" s="2072">
        <v>65.36</v>
      </c>
    </row>
    <row r="51" spans="1:15" ht="12.75" customHeight="1">
      <c r="A51" s="2340" t="s">
        <v>713</v>
      </c>
      <c r="B51" s="2340"/>
      <c r="C51" s="2340"/>
      <c r="D51" s="2340"/>
      <c r="E51" s="2340"/>
      <c r="F51" s="2066" t="s">
        <v>732</v>
      </c>
      <c r="G51" s="2070">
        <v>24728</v>
      </c>
      <c r="H51" s="2070">
        <v>11876</v>
      </c>
      <c r="I51" s="2070">
        <v>12852</v>
      </c>
      <c r="J51" s="2070">
        <v>16477</v>
      </c>
      <c r="K51" s="2070">
        <v>8078</v>
      </c>
      <c r="L51" s="2070">
        <v>8399</v>
      </c>
      <c r="M51" s="2071">
        <v>66.63</v>
      </c>
      <c r="N51" s="2071">
        <v>68.02</v>
      </c>
      <c r="O51" s="2072">
        <v>65.349999999999994</v>
      </c>
    </row>
    <row r="52" spans="1:15" ht="12.75" customHeight="1">
      <c r="A52" s="2340" t="s">
        <v>690</v>
      </c>
      <c r="B52" s="2340"/>
      <c r="C52" s="2340"/>
      <c r="D52" s="2340"/>
      <c r="E52" s="2340"/>
      <c r="F52" s="2066" t="s">
        <v>732</v>
      </c>
      <c r="G52" s="2070">
        <v>24720</v>
      </c>
      <c r="H52" s="2070">
        <v>11870</v>
      </c>
      <c r="I52" s="2070">
        <v>12850</v>
      </c>
      <c r="J52" s="2070">
        <v>15916</v>
      </c>
      <c r="K52" s="2070">
        <v>7774</v>
      </c>
      <c r="L52" s="2070">
        <v>8142</v>
      </c>
      <c r="M52" s="2071">
        <v>64.39</v>
      </c>
      <c r="N52" s="2071">
        <v>65.489999999999995</v>
      </c>
      <c r="O52" s="2072">
        <v>63.36</v>
      </c>
    </row>
    <row r="53" spans="1:15" ht="12.75" customHeight="1">
      <c r="A53" s="2340" t="s">
        <v>722</v>
      </c>
      <c r="B53" s="2340"/>
      <c r="C53" s="2340"/>
      <c r="D53" s="2340"/>
      <c r="E53" s="2340"/>
      <c r="F53" s="2073" t="s">
        <v>733</v>
      </c>
      <c r="G53" s="2070">
        <v>24660</v>
      </c>
      <c r="H53" s="2070">
        <v>11847</v>
      </c>
      <c r="I53" s="2070">
        <v>12813</v>
      </c>
      <c r="J53" s="2070">
        <v>14838</v>
      </c>
      <c r="K53" s="2070">
        <v>7309</v>
      </c>
      <c r="L53" s="2070">
        <v>7529</v>
      </c>
      <c r="M53" s="2071">
        <v>60.17</v>
      </c>
      <c r="N53" s="2071">
        <v>61.69</v>
      </c>
      <c r="O53" s="2072">
        <v>58.76</v>
      </c>
    </row>
    <row r="54" spans="1:15" ht="12.75" customHeight="1">
      <c r="A54" s="2340" t="s">
        <v>724</v>
      </c>
      <c r="B54" s="2340"/>
      <c r="C54" s="2340"/>
      <c r="D54" s="2340"/>
      <c r="E54" s="2340"/>
      <c r="F54" s="2073" t="s">
        <v>733</v>
      </c>
      <c r="G54" s="2070">
        <v>24669</v>
      </c>
      <c r="H54" s="2070">
        <v>11854</v>
      </c>
      <c r="I54" s="2070">
        <v>12815</v>
      </c>
      <c r="J54" s="2070">
        <v>14840</v>
      </c>
      <c r="K54" s="2070">
        <v>7310</v>
      </c>
      <c r="L54" s="2070">
        <v>7530</v>
      </c>
      <c r="M54" s="2071">
        <v>60.16</v>
      </c>
      <c r="N54" s="2071">
        <v>61.67</v>
      </c>
      <c r="O54" s="2072">
        <v>58.76</v>
      </c>
    </row>
    <row r="55" spans="1:15" ht="12.75" customHeight="1">
      <c r="A55" s="2341" t="s">
        <v>712</v>
      </c>
      <c r="B55" s="2342"/>
      <c r="C55" s="2342"/>
      <c r="D55" s="2342"/>
      <c r="E55" s="2343"/>
      <c r="F55" s="2074" t="s">
        <v>734</v>
      </c>
      <c r="G55" s="2070">
        <v>24359</v>
      </c>
      <c r="H55" s="2070">
        <v>11697</v>
      </c>
      <c r="I55" s="2070">
        <v>12662</v>
      </c>
      <c r="J55" s="2070">
        <v>16684</v>
      </c>
      <c r="K55" s="2070">
        <v>8142</v>
      </c>
      <c r="L55" s="2070">
        <v>8542</v>
      </c>
      <c r="M55" s="2071">
        <v>68.489999999999995</v>
      </c>
      <c r="N55" s="2071">
        <v>69.61</v>
      </c>
      <c r="O55" s="2072">
        <v>67.459999999999994</v>
      </c>
    </row>
    <row r="56" spans="1:15" ht="12.75" customHeight="1">
      <c r="A56" s="2341" t="s">
        <v>713</v>
      </c>
      <c r="B56" s="2342"/>
      <c r="C56" s="2342"/>
      <c r="D56" s="2342"/>
      <c r="E56" s="2343"/>
      <c r="F56" s="2074" t="s">
        <v>734</v>
      </c>
      <c r="G56" s="2070">
        <v>24369</v>
      </c>
      <c r="H56" s="2070">
        <v>11704</v>
      </c>
      <c r="I56" s="2070">
        <v>12665</v>
      </c>
      <c r="J56" s="2070">
        <v>16685</v>
      </c>
      <c r="K56" s="2070">
        <v>8143</v>
      </c>
      <c r="L56" s="2070">
        <v>8542</v>
      </c>
      <c r="M56" s="2071">
        <v>68.47</v>
      </c>
      <c r="N56" s="2071">
        <v>69.569999999999993</v>
      </c>
      <c r="O56" s="2072">
        <v>67.45</v>
      </c>
    </row>
    <row r="57" spans="1:15" ht="12.75" customHeight="1">
      <c r="A57" s="2341" t="s">
        <v>690</v>
      </c>
      <c r="B57" s="2342"/>
      <c r="C57" s="2342"/>
      <c r="D57" s="2342"/>
      <c r="E57" s="2343"/>
      <c r="F57" s="2074" t="s">
        <v>734</v>
      </c>
      <c r="G57" s="2070">
        <v>24359</v>
      </c>
      <c r="H57" s="2070">
        <v>11697</v>
      </c>
      <c r="I57" s="2070">
        <v>12662</v>
      </c>
      <c r="J57" s="2070">
        <v>15965</v>
      </c>
      <c r="K57" s="2070">
        <v>7776</v>
      </c>
      <c r="L57" s="2070">
        <v>8189</v>
      </c>
      <c r="M57" s="2071">
        <f>ROUND(J57/G57*100,2)</f>
        <v>65.540000000000006</v>
      </c>
      <c r="N57" s="2071">
        <f>ROUND(K57/H57*100,2)</f>
        <v>66.48</v>
      </c>
      <c r="O57" s="2072">
        <f>ROUND(L57/I57*100,2)</f>
        <v>64.67</v>
      </c>
    </row>
    <row r="58" spans="1:15" ht="12.75" customHeight="1">
      <c r="A58" s="2341" t="s">
        <v>3677</v>
      </c>
      <c r="B58" s="2342"/>
      <c r="C58" s="2342"/>
      <c r="D58" s="2342"/>
      <c r="E58" s="2343"/>
      <c r="F58" s="2074" t="s">
        <v>735</v>
      </c>
      <c r="G58" s="2070">
        <v>872</v>
      </c>
      <c r="H58" s="2070">
        <v>416</v>
      </c>
      <c r="I58" s="2070">
        <v>456</v>
      </c>
      <c r="J58" s="2070">
        <v>711</v>
      </c>
      <c r="K58" s="2070">
        <v>341</v>
      </c>
      <c r="L58" s="2070">
        <v>370</v>
      </c>
      <c r="M58" s="2071">
        <v>81.540000000000006</v>
      </c>
      <c r="N58" s="2071">
        <v>81.97</v>
      </c>
      <c r="O58" s="2072">
        <v>81.14</v>
      </c>
    </row>
    <row r="59" spans="1:15" ht="12.75" customHeight="1">
      <c r="A59" s="2341" t="s">
        <v>3678</v>
      </c>
      <c r="B59" s="2342"/>
      <c r="C59" s="2342"/>
      <c r="D59" s="2342"/>
      <c r="E59" s="2343"/>
      <c r="F59" s="2074" t="s">
        <v>735</v>
      </c>
      <c r="G59" s="2070">
        <v>945</v>
      </c>
      <c r="H59" s="2070">
        <v>446</v>
      </c>
      <c r="I59" s="2070">
        <v>499</v>
      </c>
      <c r="J59" s="2070">
        <v>768</v>
      </c>
      <c r="K59" s="2070">
        <v>361</v>
      </c>
      <c r="L59" s="2070">
        <v>407</v>
      </c>
      <c r="M59" s="2071">
        <v>81.27</v>
      </c>
      <c r="N59" s="2071">
        <v>80.94</v>
      </c>
      <c r="O59" s="2072">
        <v>81.56</v>
      </c>
    </row>
    <row r="60" spans="1:15" ht="12.75" customHeight="1">
      <c r="A60" s="2340" t="s">
        <v>736</v>
      </c>
      <c r="B60" s="2340"/>
      <c r="C60" s="2340"/>
      <c r="D60" s="2340"/>
      <c r="E60" s="2340"/>
      <c r="F60" s="2074" t="s">
        <v>737</v>
      </c>
      <c r="G60" s="2349">
        <v>26142</v>
      </c>
      <c r="H60" s="2349">
        <v>12547</v>
      </c>
      <c r="I60" s="2349">
        <v>13595</v>
      </c>
      <c r="J60" s="2345" t="s">
        <v>685</v>
      </c>
      <c r="K60" s="2345" t="s">
        <v>685</v>
      </c>
      <c r="L60" s="2345" t="s">
        <v>685</v>
      </c>
      <c r="M60" s="2346" t="s">
        <v>685</v>
      </c>
      <c r="N60" s="2346" t="s">
        <v>685</v>
      </c>
      <c r="O60" s="2347" t="s">
        <v>685</v>
      </c>
    </row>
    <row r="61" spans="1:15" ht="12.75" customHeight="1">
      <c r="A61" s="2340"/>
      <c r="B61" s="2340"/>
      <c r="C61" s="2340"/>
      <c r="D61" s="2340"/>
      <c r="E61" s="2340"/>
      <c r="F61" s="2073" t="s">
        <v>686</v>
      </c>
      <c r="G61" s="2349"/>
      <c r="H61" s="2349"/>
      <c r="I61" s="2349"/>
      <c r="J61" s="2345"/>
      <c r="K61" s="2345"/>
      <c r="L61" s="2345"/>
      <c r="M61" s="2346"/>
      <c r="N61" s="2346"/>
      <c r="O61" s="2347"/>
    </row>
    <row r="62" spans="1:15" ht="12.75" customHeight="1">
      <c r="A62" s="2340" t="s">
        <v>738</v>
      </c>
      <c r="B62" s="2351"/>
      <c r="C62" s="2351"/>
      <c r="D62" s="2351"/>
      <c r="E62" s="2351"/>
      <c r="F62" s="2074" t="s">
        <v>737</v>
      </c>
      <c r="G62" s="2349">
        <v>24333</v>
      </c>
      <c r="H62" s="2349">
        <v>11681</v>
      </c>
      <c r="I62" s="2349">
        <v>12652</v>
      </c>
      <c r="J62" s="2345" t="s">
        <v>685</v>
      </c>
      <c r="K62" s="2345" t="s">
        <v>685</v>
      </c>
      <c r="L62" s="2345" t="s">
        <v>685</v>
      </c>
      <c r="M62" s="2346" t="s">
        <v>685</v>
      </c>
      <c r="N62" s="2346" t="s">
        <v>685</v>
      </c>
      <c r="O62" s="2347" t="s">
        <v>685</v>
      </c>
    </row>
    <row r="63" spans="1:15" ht="12.75" customHeight="1">
      <c r="A63" s="2352" t="s">
        <v>739</v>
      </c>
      <c r="B63" s="2352"/>
      <c r="C63" s="2352"/>
      <c r="D63" s="2352"/>
      <c r="E63" s="2352"/>
      <c r="F63" s="2073" t="s">
        <v>686</v>
      </c>
      <c r="G63" s="2350"/>
      <c r="H63" s="2350"/>
      <c r="I63" s="2350"/>
      <c r="J63" s="2345"/>
      <c r="K63" s="2345"/>
      <c r="L63" s="2345"/>
      <c r="M63" s="2346"/>
      <c r="N63" s="2346"/>
      <c r="O63" s="2347"/>
    </row>
    <row r="64" spans="1:15" ht="12.75" customHeight="1">
      <c r="A64" s="2340" t="s">
        <v>727</v>
      </c>
      <c r="B64" s="2340"/>
      <c r="C64" s="2340"/>
      <c r="D64" s="2340"/>
      <c r="E64" s="2340"/>
      <c r="F64" s="2074" t="s">
        <v>740</v>
      </c>
      <c r="G64" s="2070">
        <v>25839</v>
      </c>
      <c r="H64" s="2070">
        <v>12387</v>
      </c>
      <c r="I64" s="2070">
        <v>13452</v>
      </c>
      <c r="J64" s="2070">
        <v>18134</v>
      </c>
      <c r="K64" s="2070">
        <v>8744</v>
      </c>
      <c r="L64" s="2070">
        <v>9390</v>
      </c>
      <c r="M64" s="2071">
        <v>70.180000000000007</v>
      </c>
      <c r="N64" s="2071">
        <v>70.59</v>
      </c>
      <c r="O64" s="2072">
        <v>69.8</v>
      </c>
    </row>
    <row r="65" spans="1:15" ht="12.75" customHeight="1">
      <c r="A65" s="2340" t="s">
        <v>729</v>
      </c>
      <c r="B65" s="2340"/>
      <c r="C65" s="2340"/>
      <c r="D65" s="2340"/>
      <c r="E65" s="2340"/>
      <c r="F65" s="2074" t="s">
        <v>741</v>
      </c>
      <c r="G65" s="2070">
        <v>25494</v>
      </c>
      <c r="H65" s="2070">
        <v>12215</v>
      </c>
      <c r="I65" s="2070">
        <v>13279</v>
      </c>
      <c r="J65" s="2070">
        <v>16399</v>
      </c>
      <c r="K65" s="2070">
        <v>7880</v>
      </c>
      <c r="L65" s="2070">
        <v>8519</v>
      </c>
      <c r="M65" s="2071">
        <v>64.319999999999993</v>
      </c>
      <c r="N65" s="2071">
        <v>64.510000000000005</v>
      </c>
      <c r="O65" s="2072">
        <v>64.150000000000006</v>
      </c>
    </row>
    <row r="66" spans="1:15" ht="12.75" customHeight="1">
      <c r="A66" s="2340" t="s">
        <v>702</v>
      </c>
      <c r="B66" s="2340"/>
      <c r="C66" s="2340"/>
      <c r="D66" s="2340"/>
      <c r="E66" s="2340"/>
      <c r="F66" s="2074" t="s">
        <v>742</v>
      </c>
      <c r="G66" s="2070">
        <v>23689</v>
      </c>
      <c r="H66" s="2070">
        <v>11352</v>
      </c>
      <c r="I66" s="2070">
        <v>12337</v>
      </c>
      <c r="J66" s="2070">
        <v>16734</v>
      </c>
      <c r="K66" s="2070">
        <v>7924</v>
      </c>
      <c r="L66" s="2070">
        <v>8810</v>
      </c>
      <c r="M66" s="2071">
        <v>70.64</v>
      </c>
      <c r="N66" s="2071">
        <v>69.8</v>
      </c>
      <c r="O66" s="2072">
        <v>71.41</v>
      </c>
    </row>
    <row r="67" spans="1:15" ht="12.75" customHeight="1">
      <c r="A67" s="2340" t="s">
        <v>722</v>
      </c>
      <c r="B67" s="2340"/>
      <c r="C67" s="2340"/>
      <c r="D67" s="2340"/>
      <c r="E67" s="2340"/>
      <c r="F67" s="2074" t="s">
        <v>743</v>
      </c>
      <c r="G67" s="2070">
        <v>25743</v>
      </c>
      <c r="H67" s="2070">
        <v>12350</v>
      </c>
      <c r="I67" s="2070">
        <v>13393</v>
      </c>
      <c r="J67" s="2070">
        <v>16248</v>
      </c>
      <c r="K67" s="2070">
        <v>7992</v>
      </c>
      <c r="L67" s="2070">
        <v>8256</v>
      </c>
      <c r="M67" s="2071">
        <v>63.12</v>
      </c>
      <c r="N67" s="2071">
        <v>64.709999999999994</v>
      </c>
      <c r="O67" s="2072">
        <v>61.64</v>
      </c>
    </row>
    <row r="68" spans="1:15" ht="12.75" customHeight="1">
      <c r="A68" s="2340" t="s">
        <v>724</v>
      </c>
      <c r="B68" s="2340"/>
      <c r="C68" s="2340"/>
      <c r="D68" s="2340"/>
      <c r="E68" s="2340"/>
      <c r="F68" s="2074" t="s">
        <v>743</v>
      </c>
      <c r="G68" s="2070">
        <v>25743</v>
      </c>
      <c r="H68" s="2070">
        <v>12350</v>
      </c>
      <c r="I68" s="2070">
        <v>13393</v>
      </c>
      <c r="J68" s="2070">
        <v>16246</v>
      </c>
      <c r="K68" s="2070">
        <v>7991</v>
      </c>
      <c r="L68" s="2070">
        <v>8255</v>
      </c>
      <c r="M68" s="2071">
        <v>63.11</v>
      </c>
      <c r="N68" s="2071">
        <v>64.7</v>
      </c>
      <c r="O68" s="2072">
        <v>61.64</v>
      </c>
    </row>
    <row r="69" spans="1:15" ht="12.75" customHeight="1">
      <c r="A69" s="2340" t="s">
        <v>712</v>
      </c>
      <c r="B69" s="2340"/>
      <c r="C69" s="2340"/>
      <c r="D69" s="2340"/>
      <c r="E69" s="2340"/>
      <c r="F69" s="2074" t="s">
        <v>744</v>
      </c>
      <c r="G69" s="2070">
        <v>25282</v>
      </c>
      <c r="H69" s="2070">
        <v>12123</v>
      </c>
      <c r="I69" s="2070">
        <v>13159</v>
      </c>
      <c r="J69" s="2070">
        <v>18853</v>
      </c>
      <c r="K69" s="2070">
        <v>9208</v>
      </c>
      <c r="L69" s="2070">
        <v>9645</v>
      </c>
      <c r="M69" s="2071">
        <v>74.569999999999993</v>
      </c>
      <c r="N69" s="2071">
        <v>75.95</v>
      </c>
      <c r="O69" s="2072">
        <v>73.3</v>
      </c>
    </row>
    <row r="70" spans="1:15" ht="12.75" customHeight="1">
      <c r="A70" s="2340" t="s">
        <v>713</v>
      </c>
      <c r="B70" s="2340"/>
      <c r="C70" s="2340"/>
      <c r="D70" s="2340"/>
      <c r="E70" s="2340"/>
      <c r="F70" s="2074" t="s">
        <v>744</v>
      </c>
      <c r="G70" s="2070">
        <v>25282</v>
      </c>
      <c r="H70" s="2070">
        <v>12123</v>
      </c>
      <c r="I70" s="2070">
        <v>13159</v>
      </c>
      <c r="J70" s="2070">
        <v>18850</v>
      </c>
      <c r="K70" s="2070">
        <v>9206</v>
      </c>
      <c r="L70" s="2070">
        <v>9644</v>
      </c>
      <c r="M70" s="2071">
        <v>74.56</v>
      </c>
      <c r="N70" s="2071">
        <v>75.94</v>
      </c>
      <c r="O70" s="2072">
        <v>73.290000000000006</v>
      </c>
    </row>
    <row r="71" spans="1:15" ht="12.75" customHeight="1">
      <c r="A71" s="2340" t="s">
        <v>690</v>
      </c>
      <c r="B71" s="2340"/>
      <c r="C71" s="2340"/>
      <c r="D71" s="2340"/>
      <c r="E71" s="2340"/>
      <c r="F71" s="2074" t="s">
        <v>744</v>
      </c>
      <c r="G71" s="2070">
        <v>25268</v>
      </c>
      <c r="H71" s="2070">
        <v>12115</v>
      </c>
      <c r="I71" s="2070">
        <v>13153</v>
      </c>
      <c r="J71" s="2070">
        <v>17998</v>
      </c>
      <c r="K71" s="2070">
        <v>8776</v>
      </c>
      <c r="L71" s="2070">
        <v>9222</v>
      </c>
      <c r="M71" s="2071">
        <v>71.23</v>
      </c>
      <c r="N71" s="2071">
        <v>72.44</v>
      </c>
      <c r="O71" s="2072">
        <v>70.11</v>
      </c>
    </row>
    <row r="72" spans="1:15" ht="12.75" customHeight="1">
      <c r="A72" s="2340" t="s">
        <v>725</v>
      </c>
      <c r="B72" s="2340"/>
      <c r="C72" s="2340"/>
      <c r="D72" s="2340"/>
      <c r="E72" s="2340"/>
      <c r="F72" s="2074" t="s">
        <v>745</v>
      </c>
      <c r="G72" s="2070">
        <v>24792</v>
      </c>
      <c r="H72" s="2070">
        <v>11872</v>
      </c>
      <c r="I72" s="2070">
        <v>12920</v>
      </c>
      <c r="J72" s="2070">
        <v>16738</v>
      </c>
      <c r="K72" s="2070">
        <v>7968</v>
      </c>
      <c r="L72" s="2070">
        <v>8770</v>
      </c>
      <c r="M72" s="2071">
        <v>67.510000000000005</v>
      </c>
      <c r="N72" s="2071">
        <v>67.12</v>
      </c>
      <c r="O72" s="2072">
        <v>67.88</v>
      </c>
    </row>
    <row r="73" spans="1:15" ht="12.75" customHeight="1">
      <c r="A73" s="2340" t="s">
        <v>738</v>
      </c>
      <c r="B73" s="2351"/>
      <c r="C73" s="2351"/>
      <c r="D73" s="2351"/>
      <c r="E73" s="2351"/>
      <c r="F73" s="2074" t="s">
        <v>745</v>
      </c>
      <c r="G73" s="2349">
        <v>23539</v>
      </c>
      <c r="H73" s="2349">
        <v>11299</v>
      </c>
      <c r="I73" s="2349">
        <v>12240</v>
      </c>
      <c r="J73" s="2345" t="s">
        <v>685</v>
      </c>
      <c r="K73" s="2345" t="s">
        <v>685</v>
      </c>
      <c r="L73" s="2345" t="s">
        <v>685</v>
      </c>
      <c r="M73" s="2346" t="s">
        <v>685</v>
      </c>
      <c r="N73" s="2346" t="s">
        <v>685</v>
      </c>
      <c r="O73" s="2347" t="s">
        <v>685</v>
      </c>
    </row>
    <row r="74" spans="1:15" ht="12.75" customHeight="1">
      <c r="A74" s="2352" t="s">
        <v>739</v>
      </c>
      <c r="B74" s="2352"/>
      <c r="C74" s="2352"/>
      <c r="D74" s="2352"/>
      <c r="E74" s="2352"/>
      <c r="F74" s="2073" t="s">
        <v>686</v>
      </c>
      <c r="G74" s="2350"/>
      <c r="H74" s="2350"/>
      <c r="I74" s="2350"/>
      <c r="J74" s="2345"/>
      <c r="K74" s="2345"/>
      <c r="L74" s="2345"/>
      <c r="M74" s="2346"/>
      <c r="N74" s="2346"/>
      <c r="O74" s="2347"/>
    </row>
    <row r="75" spans="1:15" ht="12.75" customHeight="1">
      <c r="A75" s="2340" t="s">
        <v>746</v>
      </c>
      <c r="B75" s="2340"/>
      <c r="C75" s="2340"/>
      <c r="D75" s="2340"/>
      <c r="E75" s="2340"/>
      <c r="F75" s="2074" t="s">
        <v>747</v>
      </c>
      <c r="G75" s="2070">
        <v>25072</v>
      </c>
      <c r="H75" s="2070">
        <v>12099</v>
      </c>
      <c r="I75" s="2070">
        <v>13063</v>
      </c>
      <c r="J75" s="2070">
        <v>15827</v>
      </c>
      <c r="K75" s="2070">
        <v>7793</v>
      </c>
      <c r="L75" s="2070">
        <v>8034</v>
      </c>
      <c r="M75" s="2071">
        <v>63.13</v>
      </c>
      <c r="N75" s="2071">
        <v>64.89</v>
      </c>
      <c r="O75" s="2072">
        <v>61.5</v>
      </c>
    </row>
    <row r="76" spans="1:15" ht="12.75" customHeight="1">
      <c r="A76" s="2340" t="s">
        <v>724</v>
      </c>
      <c r="B76" s="2340"/>
      <c r="C76" s="2340"/>
      <c r="D76" s="2340"/>
      <c r="E76" s="2340"/>
      <c r="F76" s="2074" t="s">
        <v>747</v>
      </c>
      <c r="G76" s="2070">
        <v>25072</v>
      </c>
      <c r="H76" s="2070">
        <v>12009</v>
      </c>
      <c r="I76" s="2070">
        <v>13063</v>
      </c>
      <c r="J76" s="2070">
        <v>15828</v>
      </c>
      <c r="K76" s="2070">
        <v>7794</v>
      </c>
      <c r="L76" s="2070">
        <v>8034</v>
      </c>
      <c r="M76" s="2071">
        <v>63.13</v>
      </c>
      <c r="N76" s="2071">
        <v>64.900000000000006</v>
      </c>
      <c r="O76" s="2072">
        <v>61.5</v>
      </c>
    </row>
    <row r="77" spans="1:15" ht="12.75" customHeight="1">
      <c r="A77" s="2340" t="s">
        <v>727</v>
      </c>
      <c r="B77" s="2340"/>
      <c r="C77" s="2340"/>
      <c r="D77" s="2340"/>
      <c r="E77" s="2340"/>
      <c r="F77" s="2074" t="s">
        <v>748</v>
      </c>
      <c r="G77" s="2070">
        <v>24868</v>
      </c>
      <c r="H77" s="2070">
        <v>11925</v>
      </c>
      <c r="I77" s="2070">
        <v>12943</v>
      </c>
      <c r="J77" s="2070">
        <v>15785</v>
      </c>
      <c r="K77" s="2070">
        <v>7674</v>
      </c>
      <c r="L77" s="2070">
        <v>8111</v>
      </c>
      <c r="M77" s="2071">
        <v>63.48</v>
      </c>
      <c r="N77" s="2071">
        <v>64.349999999999994</v>
      </c>
      <c r="O77" s="2072">
        <v>62.67</v>
      </c>
    </row>
    <row r="78" spans="1:15" ht="12.75" customHeight="1">
      <c r="A78" s="2340" t="s">
        <v>691</v>
      </c>
      <c r="B78" s="2340"/>
      <c r="C78" s="2340"/>
      <c r="D78" s="2340"/>
      <c r="E78" s="2340"/>
      <c r="F78" s="2074" t="s">
        <v>749</v>
      </c>
      <c r="G78" s="2349">
        <v>25027</v>
      </c>
      <c r="H78" s="2349">
        <v>11996</v>
      </c>
      <c r="I78" s="2349">
        <v>13031</v>
      </c>
      <c r="J78" s="2345" t="s">
        <v>685</v>
      </c>
      <c r="K78" s="2345" t="s">
        <v>685</v>
      </c>
      <c r="L78" s="2345" t="s">
        <v>685</v>
      </c>
      <c r="M78" s="2346" t="s">
        <v>685</v>
      </c>
      <c r="N78" s="2346" t="s">
        <v>685</v>
      </c>
      <c r="O78" s="2347" t="s">
        <v>685</v>
      </c>
    </row>
    <row r="79" spans="1:15" ht="12.75" customHeight="1">
      <c r="A79" s="2340"/>
      <c r="B79" s="2340"/>
      <c r="C79" s="2340"/>
      <c r="D79" s="2340"/>
      <c r="E79" s="2340"/>
      <c r="F79" s="2073" t="s">
        <v>686</v>
      </c>
      <c r="G79" s="2350"/>
      <c r="H79" s="2350"/>
      <c r="I79" s="2350"/>
      <c r="J79" s="2345"/>
      <c r="K79" s="2345"/>
      <c r="L79" s="2345"/>
      <c r="M79" s="2346"/>
      <c r="N79" s="2346"/>
      <c r="O79" s="2347"/>
    </row>
    <row r="80" spans="1:15" ht="12.75" customHeight="1">
      <c r="A80" s="2340" t="s">
        <v>702</v>
      </c>
      <c r="B80" s="2340"/>
      <c r="C80" s="2340"/>
      <c r="D80" s="2340"/>
      <c r="E80" s="2340"/>
      <c r="F80" s="2074" t="s">
        <v>750</v>
      </c>
      <c r="G80" s="2070">
        <v>24661</v>
      </c>
      <c r="H80" s="2070">
        <v>11813</v>
      </c>
      <c r="I80" s="2070">
        <v>12848</v>
      </c>
      <c r="J80" s="2070">
        <v>16844</v>
      </c>
      <c r="K80" s="2070">
        <v>7986</v>
      </c>
      <c r="L80" s="2070">
        <v>8858</v>
      </c>
      <c r="M80" s="2071">
        <v>68.3</v>
      </c>
      <c r="N80" s="2071">
        <v>67.599999999999994</v>
      </c>
      <c r="O80" s="2072">
        <v>68.94</v>
      </c>
    </row>
    <row r="81" spans="1:17" ht="12.75" customHeight="1">
      <c r="A81" s="2341" t="s">
        <v>712</v>
      </c>
      <c r="B81" s="2342"/>
      <c r="C81" s="2342"/>
      <c r="D81" s="2342"/>
      <c r="E81" s="2343"/>
      <c r="F81" s="2074" t="s">
        <v>751</v>
      </c>
      <c r="G81" s="2070">
        <v>24598</v>
      </c>
      <c r="H81" s="2070">
        <v>11812</v>
      </c>
      <c r="I81" s="2070">
        <v>12786</v>
      </c>
      <c r="J81" s="2070">
        <v>15580</v>
      </c>
      <c r="K81" s="2070">
        <v>7730</v>
      </c>
      <c r="L81" s="2070">
        <v>7850</v>
      </c>
      <c r="M81" s="2071">
        <v>63.34</v>
      </c>
      <c r="N81" s="2071">
        <v>65.44</v>
      </c>
      <c r="O81" s="2072">
        <v>61.4</v>
      </c>
    </row>
    <row r="82" spans="1:17" ht="12.75" customHeight="1">
      <c r="A82" s="2341" t="s">
        <v>713</v>
      </c>
      <c r="B82" s="2342"/>
      <c r="C82" s="2342"/>
      <c r="D82" s="2342"/>
      <c r="E82" s="2343"/>
      <c r="F82" s="2074" t="s">
        <v>751</v>
      </c>
      <c r="G82" s="2070">
        <v>24598</v>
      </c>
      <c r="H82" s="2070">
        <v>11812</v>
      </c>
      <c r="I82" s="2070">
        <v>12786</v>
      </c>
      <c r="J82" s="2070">
        <v>15580</v>
      </c>
      <c r="K82" s="2070">
        <v>7729</v>
      </c>
      <c r="L82" s="2070">
        <v>7851</v>
      </c>
      <c r="M82" s="2071">
        <v>63.34</v>
      </c>
      <c r="N82" s="2071">
        <v>65.430000000000007</v>
      </c>
      <c r="O82" s="2072">
        <v>61.4</v>
      </c>
    </row>
    <row r="83" spans="1:17" ht="12.75" customHeight="1">
      <c r="A83" s="2341" t="s">
        <v>690</v>
      </c>
      <c r="B83" s="2342"/>
      <c r="C83" s="2342"/>
      <c r="D83" s="2342"/>
      <c r="E83" s="2343"/>
      <c r="F83" s="2074" t="s">
        <v>751</v>
      </c>
      <c r="G83" s="2070">
        <v>24580</v>
      </c>
      <c r="H83" s="2070">
        <v>11802</v>
      </c>
      <c r="I83" s="2070">
        <v>12778</v>
      </c>
      <c r="J83" s="2070">
        <v>14940</v>
      </c>
      <c r="K83" s="2070">
        <v>7411</v>
      </c>
      <c r="L83" s="2070">
        <v>7529</v>
      </c>
      <c r="M83" s="2071">
        <v>60.78</v>
      </c>
      <c r="N83" s="2071">
        <v>62.79</v>
      </c>
      <c r="O83" s="2072">
        <v>58.92</v>
      </c>
    </row>
    <row r="84" spans="1:17" ht="12.75" customHeight="1">
      <c r="A84" s="2341" t="s">
        <v>722</v>
      </c>
      <c r="B84" s="2342"/>
      <c r="C84" s="2342"/>
      <c r="D84" s="2342"/>
      <c r="E84" s="2343"/>
      <c r="F84" s="2074" t="s">
        <v>752</v>
      </c>
      <c r="G84" s="2070">
        <v>24439</v>
      </c>
      <c r="H84" s="2070">
        <v>11722</v>
      </c>
      <c r="I84" s="2070">
        <v>12717</v>
      </c>
      <c r="J84" s="2070">
        <v>14175</v>
      </c>
      <c r="K84" s="2070">
        <v>7035</v>
      </c>
      <c r="L84" s="2070">
        <v>7140</v>
      </c>
      <c r="M84" s="2071">
        <v>58</v>
      </c>
      <c r="N84" s="2071">
        <v>60.02</v>
      </c>
      <c r="O84" s="2072">
        <v>56.15</v>
      </c>
    </row>
    <row r="85" spans="1:17" ht="12.75" customHeight="1">
      <c r="A85" s="2341" t="s">
        <v>724</v>
      </c>
      <c r="B85" s="2342"/>
      <c r="C85" s="2342"/>
      <c r="D85" s="2342"/>
      <c r="E85" s="2343"/>
      <c r="F85" s="2074" t="s">
        <v>752</v>
      </c>
      <c r="G85" s="2070">
        <v>24439</v>
      </c>
      <c r="H85" s="2070">
        <v>11722</v>
      </c>
      <c r="I85" s="2070">
        <v>12717</v>
      </c>
      <c r="J85" s="2070">
        <v>14175</v>
      </c>
      <c r="K85" s="2070">
        <v>7035</v>
      </c>
      <c r="L85" s="2070">
        <v>7140</v>
      </c>
      <c r="M85" s="2071">
        <v>58</v>
      </c>
      <c r="N85" s="2071">
        <v>60.02</v>
      </c>
      <c r="O85" s="2072">
        <v>56.15</v>
      </c>
    </row>
    <row r="86" spans="1:17" ht="12.75" customHeight="1">
      <c r="A86" s="2340" t="s">
        <v>725</v>
      </c>
      <c r="B86" s="2340"/>
      <c r="C86" s="2340"/>
      <c r="D86" s="2340"/>
      <c r="E86" s="2340"/>
      <c r="F86" s="2073" t="s">
        <v>753</v>
      </c>
      <c r="G86" s="2348">
        <v>24375</v>
      </c>
      <c r="H86" s="2349">
        <v>11718</v>
      </c>
      <c r="I86" s="2349">
        <v>12657</v>
      </c>
      <c r="J86" s="2345" t="s">
        <v>685</v>
      </c>
      <c r="K86" s="2345" t="s">
        <v>685</v>
      </c>
      <c r="L86" s="2345" t="s">
        <v>685</v>
      </c>
      <c r="M86" s="2346" t="s">
        <v>685</v>
      </c>
      <c r="N86" s="2346" t="s">
        <v>685</v>
      </c>
      <c r="O86" s="2347" t="s">
        <v>685</v>
      </c>
    </row>
    <row r="87" spans="1:17" ht="12.75" customHeight="1">
      <c r="A87" s="2340"/>
      <c r="B87" s="2340"/>
      <c r="C87" s="2340"/>
      <c r="D87" s="2340"/>
      <c r="E87" s="2340"/>
      <c r="F87" s="2074" t="s">
        <v>754</v>
      </c>
      <c r="G87" s="2348"/>
      <c r="H87" s="2350"/>
      <c r="I87" s="2350"/>
      <c r="J87" s="2345"/>
      <c r="K87" s="2345"/>
      <c r="L87" s="2345"/>
      <c r="M87" s="2346"/>
      <c r="N87" s="2346"/>
      <c r="O87" s="2347"/>
    </row>
    <row r="88" spans="1:17" ht="12.75" customHeight="1">
      <c r="A88" s="2340" t="s">
        <v>727</v>
      </c>
      <c r="B88" s="2340"/>
      <c r="C88" s="2340"/>
      <c r="D88" s="2340"/>
      <c r="E88" s="2340"/>
      <c r="F88" s="2073" t="s">
        <v>755</v>
      </c>
      <c r="G88" s="2075">
        <v>24141</v>
      </c>
      <c r="H88" s="2070">
        <v>11609</v>
      </c>
      <c r="I88" s="2070">
        <v>12532</v>
      </c>
      <c r="J88" s="2070">
        <v>10920</v>
      </c>
      <c r="K88" s="2070">
        <v>5346</v>
      </c>
      <c r="L88" s="2070">
        <v>5574</v>
      </c>
      <c r="M88" s="2071">
        <v>45.23</v>
      </c>
      <c r="N88" s="2071">
        <v>46.05</v>
      </c>
      <c r="O88" s="2072">
        <v>44.48</v>
      </c>
    </row>
    <row r="89" spans="1:17" ht="12.75" customHeight="1">
      <c r="A89" s="2341" t="s">
        <v>712</v>
      </c>
      <c r="B89" s="2342"/>
      <c r="C89" s="2342"/>
      <c r="D89" s="2342"/>
      <c r="E89" s="2343"/>
      <c r="F89" s="2074" t="s">
        <v>756</v>
      </c>
      <c r="G89" s="2070">
        <v>24238</v>
      </c>
      <c r="H89" s="2070">
        <v>11657</v>
      </c>
      <c r="I89" s="2070">
        <v>12581</v>
      </c>
      <c r="J89" s="2070">
        <v>12766</v>
      </c>
      <c r="K89" s="2070">
        <v>6399</v>
      </c>
      <c r="L89" s="2070">
        <v>6367</v>
      </c>
      <c r="M89" s="2071">
        <v>52.67</v>
      </c>
      <c r="N89" s="2071">
        <v>54.89</v>
      </c>
      <c r="O89" s="2072">
        <v>50.61</v>
      </c>
    </row>
    <row r="90" spans="1:17" ht="12.75" customHeight="1">
      <c r="A90" s="2341" t="s">
        <v>713</v>
      </c>
      <c r="B90" s="2342"/>
      <c r="C90" s="2342"/>
      <c r="D90" s="2342"/>
      <c r="E90" s="2343"/>
      <c r="F90" s="2074" t="s">
        <v>756</v>
      </c>
      <c r="G90" s="2070">
        <v>24238</v>
      </c>
      <c r="H90" s="2070">
        <v>11657</v>
      </c>
      <c r="I90" s="2070">
        <v>12581</v>
      </c>
      <c r="J90" s="2070">
        <v>12769</v>
      </c>
      <c r="K90" s="2070">
        <v>6400</v>
      </c>
      <c r="L90" s="2070">
        <v>6369</v>
      </c>
      <c r="M90" s="2071">
        <v>52.68</v>
      </c>
      <c r="N90" s="2071">
        <v>54.9</v>
      </c>
      <c r="O90" s="2072">
        <v>50.62</v>
      </c>
    </row>
    <row r="91" spans="1:17" ht="12.75" customHeight="1">
      <c r="A91" s="2341" t="s">
        <v>690</v>
      </c>
      <c r="B91" s="2342"/>
      <c r="C91" s="2342"/>
      <c r="D91" s="2342"/>
      <c r="E91" s="2343"/>
      <c r="F91" s="2074" t="s">
        <v>756</v>
      </c>
      <c r="G91" s="2070">
        <v>24217</v>
      </c>
      <c r="H91" s="2070">
        <v>11647</v>
      </c>
      <c r="I91" s="2070">
        <v>12570</v>
      </c>
      <c r="J91" s="2070">
        <v>12252</v>
      </c>
      <c r="K91" s="2070">
        <v>6114</v>
      </c>
      <c r="L91" s="2070">
        <v>6138</v>
      </c>
      <c r="M91" s="2071">
        <v>50.59</v>
      </c>
      <c r="N91" s="2071">
        <v>52.49</v>
      </c>
      <c r="O91" s="2072">
        <v>48.83</v>
      </c>
    </row>
    <row r="92" spans="1:17" ht="12.75" customHeight="1">
      <c r="A92" s="2341" t="s">
        <v>691</v>
      </c>
      <c r="B92" s="2342"/>
      <c r="C92" s="2342"/>
      <c r="D92" s="2342"/>
      <c r="E92" s="2343"/>
      <c r="F92" s="2074" t="s">
        <v>757</v>
      </c>
      <c r="G92" s="2070">
        <v>23852</v>
      </c>
      <c r="H92" s="2070">
        <v>11473</v>
      </c>
      <c r="I92" s="2070">
        <v>12379</v>
      </c>
      <c r="J92" s="2070">
        <v>10962</v>
      </c>
      <c r="K92" s="2070">
        <v>5450</v>
      </c>
      <c r="L92" s="2070">
        <v>5512</v>
      </c>
      <c r="M92" s="2071">
        <v>45.96</v>
      </c>
      <c r="N92" s="2071">
        <v>47.5</v>
      </c>
      <c r="O92" s="2072">
        <v>44.53</v>
      </c>
    </row>
    <row r="93" spans="1:17" ht="12.75" customHeight="1">
      <c r="A93" s="2341" t="s">
        <v>693</v>
      </c>
      <c r="B93" s="2342"/>
      <c r="C93" s="2342"/>
      <c r="D93" s="2342"/>
      <c r="E93" s="2343"/>
      <c r="F93" s="2074" t="s">
        <v>758</v>
      </c>
      <c r="G93" s="2070">
        <v>23836</v>
      </c>
      <c r="H93" s="2070">
        <v>11455</v>
      </c>
      <c r="I93" s="2070">
        <v>12381</v>
      </c>
      <c r="J93" s="2070">
        <v>14533</v>
      </c>
      <c r="K93" s="2070">
        <v>6947</v>
      </c>
      <c r="L93" s="2070">
        <v>7586</v>
      </c>
      <c r="M93" s="2071">
        <v>60.97</v>
      </c>
      <c r="N93" s="2071">
        <v>60.65</v>
      </c>
      <c r="O93" s="2072">
        <v>61.27</v>
      </c>
    </row>
    <row r="94" spans="1:17" ht="12.75" customHeight="1">
      <c r="A94" s="2341" t="s">
        <v>722</v>
      </c>
      <c r="B94" s="2342"/>
      <c r="C94" s="2342"/>
      <c r="D94" s="2342"/>
      <c r="E94" s="2343"/>
      <c r="F94" s="2074" t="s">
        <v>759</v>
      </c>
      <c r="G94" s="2070">
        <v>24486</v>
      </c>
      <c r="H94" s="2070">
        <v>11863</v>
      </c>
      <c r="I94" s="2070">
        <v>12623</v>
      </c>
      <c r="J94" s="2070">
        <v>15139</v>
      </c>
      <c r="K94" s="2070">
        <v>7530</v>
      </c>
      <c r="L94" s="2070">
        <v>7609</v>
      </c>
      <c r="M94" s="2071">
        <v>61.83</v>
      </c>
      <c r="N94" s="2071">
        <v>63.47</v>
      </c>
      <c r="O94" s="2072">
        <v>60.28</v>
      </c>
    </row>
    <row r="95" spans="1:17" ht="12.75" customHeight="1">
      <c r="A95" s="2341" t="s">
        <v>724</v>
      </c>
      <c r="B95" s="2342"/>
      <c r="C95" s="2342"/>
      <c r="D95" s="2342"/>
      <c r="E95" s="2343"/>
      <c r="F95" s="2074" t="s">
        <v>759</v>
      </c>
      <c r="G95" s="2070">
        <v>24486</v>
      </c>
      <c r="H95" s="2070">
        <v>11863</v>
      </c>
      <c r="I95" s="2070">
        <v>12623</v>
      </c>
      <c r="J95" s="2070">
        <v>15137</v>
      </c>
      <c r="K95" s="2070">
        <v>7531</v>
      </c>
      <c r="L95" s="2070">
        <v>7606</v>
      </c>
      <c r="M95" s="2071">
        <v>61.82</v>
      </c>
      <c r="N95" s="2071">
        <v>63.48</v>
      </c>
      <c r="O95" s="2072">
        <v>60.26</v>
      </c>
      <c r="Q95" s="2076"/>
    </row>
    <row r="96" spans="1:17" ht="17.25" customHeight="1">
      <c r="A96" s="2340" t="s">
        <v>712</v>
      </c>
      <c r="B96" s="2340"/>
      <c r="C96" s="2340"/>
      <c r="D96" s="2340"/>
      <c r="E96" s="2340"/>
      <c r="F96" s="2073" t="s">
        <v>760</v>
      </c>
      <c r="G96" s="2070">
        <f>+H96+I96</f>
        <v>24074</v>
      </c>
      <c r="H96" s="2070">
        <v>11714</v>
      </c>
      <c r="I96" s="2070">
        <v>12360</v>
      </c>
      <c r="J96" s="2070">
        <f>+K96+L96</f>
        <v>14180</v>
      </c>
      <c r="K96" s="2070">
        <v>7108</v>
      </c>
      <c r="L96" s="2070">
        <v>7072</v>
      </c>
      <c r="M96" s="2077">
        <f t="shared" ref="M96:O114" si="0">+J96/G96*100</f>
        <v>58.901719697599063</v>
      </c>
      <c r="N96" s="2071">
        <f t="shared" si="0"/>
        <v>60.679528768994359</v>
      </c>
      <c r="O96" s="2072">
        <f t="shared" si="0"/>
        <v>57.216828478964402</v>
      </c>
    </row>
    <row r="97" spans="1:15" ht="17.25" customHeight="1">
      <c r="A97" s="2340" t="s">
        <v>713</v>
      </c>
      <c r="B97" s="2340"/>
      <c r="C97" s="2340"/>
      <c r="D97" s="2340"/>
      <c r="E97" s="2340"/>
      <c r="F97" s="2073" t="s">
        <v>760</v>
      </c>
      <c r="G97" s="2070">
        <f>+H97+I97</f>
        <v>24074</v>
      </c>
      <c r="H97" s="2070">
        <v>11714</v>
      </c>
      <c r="I97" s="2070">
        <v>12360</v>
      </c>
      <c r="J97" s="2070">
        <f>+K97+L97</f>
        <v>14179</v>
      </c>
      <c r="K97" s="2070">
        <v>7107</v>
      </c>
      <c r="L97" s="2070">
        <v>7072</v>
      </c>
      <c r="M97" s="2071">
        <f t="shared" si="0"/>
        <v>58.897565838664121</v>
      </c>
      <c r="N97" s="2071">
        <f t="shared" si="0"/>
        <v>60.670991975414033</v>
      </c>
      <c r="O97" s="2072">
        <f t="shared" si="0"/>
        <v>57.216828478964402</v>
      </c>
    </row>
    <row r="98" spans="1:15" ht="17.25" customHeight="1">
      <c r="A98" s="2340" t="s">
        <v>690</v>
      </c>
      <c r="B98" s="2340"/>
      <c r="C98" s="2340"/>
      <c r="D98" s="2340"/>
      <c r="E98" s="2340"/>
      <c r="F98" s="2073" t="s">
        <v>760</v>
      </c>
      <c r="G98" s="2070">
        <f>+H98+I98</f>
        <v>24058</v>
      </c>
      <c r="H98" s="2070">
        <v>11707</v>
      </c>
      <c r="I98" s="2070">
        <v>12351</v>
      </c>
      <c r="J98" s="2070">
        <f>+K98+L98</f>
        <v>14000</v>
      </c>
      <c r="K98" s="2070">
        <v>7015</v>
      </c>
      <c r="L98" s="2070">
        <v>6985</v>
      </c>
      <c r="M98" s="2071">
        <f t="shared" si="0"/>
        <v>58.192700972649433</v>
      </c>
      <c r="N98" s="2071">
        <f t="shared" si="0"/>
        <v>59.921414538310415</v>
      </c>
      <c r="O98" s="2072">
        <f t="shared" si="0"/>
        <v>56.554125172050853</v>
      </c>
    </row>
    <row r="99" spans="1:15" ht="12.75" customHeight="1">
      <c r="A99" s="2340" t="s">
        <v>725</v>
      </c>
      <c r="B99" s="2340"/>
      <c r="C99" s="2340"/>
      <c r="D99" s="2340"/>
      <c r="E99" s="2340"/>
      <c r="F99" s="2066" t="s">
        <v>761</v>
      </c>
      <c r="G99" s="2067">
        <f>+H99+I99</f>
        <v>23596</v>
      </c>
      <c r="H99" s="2067">
        <v>11476</v>
      </c>
      <c r="I99" s="2067">
        <v>12120</v>
      </c>
      <c r="J99" s="2067">
        <f>+K99+L99</f>
        <v>13999</v>
      </c>
      <c r="K99" s="2067">
        <v>6755</v>
      </c>
      <c r="L99" s="2067">
        <v>7244</v>
      </c>
      <c r="M99" s="2068">
        <f t="shared" si="0"/>
        <v>59.32785217833532</v>
      </c>
      <c r="N99" s="2068">
        <f t="shared" si="0"/>
        <v>58.861972812826771</v>
      </c>
      <c r="O99" s="2069">
        <f t="shared" si="0"/>
        <v>59.768976897689775</v>
      </c>
    </row>
    <row r="100" spans="1:15" ht="12.75" customHeight="1">
      <c r="A100" s="2340" t="s">
        <v>727</v>
      </c>
      <c r="B100" s="2340"/>
      <c r="C100" s="2340"/>
      <c r="D100" s="2340"/>
      <c r="E100" s="2340"/>
      <c r="F100" s="2066" t="s">
        <v>762</v>
      </c>
      <c r="G100" s="2067">
        <v>23663</v>
      </c>
      <c r="H100" s="2067">
        <v>11515</v>
      </c>
      <c r="I100" s="2067">
        <v>12148</v>
      </c>
      <c r="J100" s="2067">
        <f>+K100+L100</f>
        <v>9951</v>
      </c>
      <c r="K100" s="2067">
        <v>4877</v>
      </c>
      <c r="L100" s="2067">
        <v>5074</v>
      </c>
      <c r="M100" s="2068">
        <f t="shared" si="0"/>
        <v>42.052994125850482</v>
      </c>
      <c r="N100" s="2068">
        <f t="shared" si="0"/>
        <v>42.353452019105511</v>
      </c>
      <c r="O100" s="2069">
        <f t="shared" si="0"/>
        <v>41.768192295027987</v>
      </c>
    </row>
    <row r="101" spans="1:15" ht="12.75" customHeight="1">
      <c r="A101" s="2344" t="s">
        <v>763</v>
      </c>
      <c r="B101" s="2344"/>
      <c r="C101" s="2344"/>
      <c r="D101" s="2344"/>
      <c r="E101" s="2344"/>
      <c r="F101" s="2073" t="s">
        <v>764</v>
      </c>
      <c r="G101" s="2067">
        <v>23348</v>
      </c>
      <c r="H101" s="2067">
        <v>11326</v>
      </c>
      <c r="I101" s="2078">
        <v>12022</v>
      </c>
      <c r="J101" s="2067">
        <v>10552</v>
      </c>
      <c r="K101" s="2067">
        <v>5251</v>
      </c>
      <c r="L101" s="2067">
        <v>5301</v>
      </c>
      <c r="M101" s="2068">
        <f t="shared" si="0"/>
        <v>45.194449203357891</v>
      </c>
      <c r="N101" s="2068">
        <f t="shared" si="0"/>
        <v>46.362352110188951</v>
      </c>
      <c r="O101" s="2069">
        <f t="shared" si="0"/>
        <v>44.094160705373483</v>
      </c>
    </row>
    <row r="102" spans="1:15" ht="12.75" customHeight="1">
      <c r="A102" s="2344" t="s">
        <v>765</v>
      </c>
      <c r="B102" s="2344"/>
      <c r="C102" s="2344"/>
      <c r="D102" s="2344"/>
      <c r="E102" s="2344"/>
      <c r="F102" s="2073" t="s">
        <v>766</v>
      </c>
      <c r="G102" s="2067">
        <v>23300</v>
      </c>
      <c r="H102" s="2067">
        <v>11300</v>
      </c>
      <c r="I102" s="2078">
        <v>12000</v>
      </c>
      <c r="J102" s="2067">
        <v>13355</v>
      </c>
      <c r="K102" s="2067">
        <v>6454</v>
      </c>
      <c r="L102" s="2067">
        <v>6901</v>
      </c>
      <c r="M102" s="2068">
        <f t="shared" si="0"/>
        <v>57.317596566523612</v>
      </c>
      <c r="N102" s="2068">
        <f t="shared" si="0"/>
        <v>57.115044247787608</v>
      </c>
      <c r="O102" s="2069">
        <f t="shared" si="0"/>
        <v>57.508333333333326</v>
      </c>
    </row>
    <row r="103" spans="1:15" ht="12.75" customHeight="1">
      <c r="A103" s="2344" t="s">
        <v>767</v>
      </c>
      <c r="B103" s="2344"/>
      <c r="C103" s="2344"/>
      <c r="D103" s="2344"/>
      <c r="E103" s="2344"/>
      <c r="F103" s="2073" t="s">
        <v>768</v>
      </c>
      <c r="G103" s="2067">
        <v>23546</v>
      </c>
      <c r="H103" s="2067">
        <v>11437</v>
      </c>
      <c r="I103" s="2078">
        <v>12109</v>
      </c>
      <c r="J103" s="2067">
        <v>12497</v>
      </c>
      <c r="K103" s="2067">
        <v>6247</v>
      </c>
      <c r="L103" s="2067">
        <v>6250</v>
      </c>
      <c r="M103" s="2068">
        <f t="shared" si="0"/>
        <v>53.074832243268503</v>
      </c>
      <c r="N103" s="2068">
        <f t="shared" si="0"/>
        <v>54.620967036810356</v>
      </c>
      <c r="O103" s="2069">
        <f t="shared" si="0"/>
        <v>51.614501610372457</v>
      </c>
    </row>
    <row r="104" spans="1:15" ht="12.75" customHeight="1">
      <c r="A104" s="2344" t="s">
        <v>769</v>
      </c>
      <c r="B104" s="2344"/>
      <c r="C104" s="2344"/>
      <c r="D104" s="2344"/>
      <c r="E104" s="2344"/>
      <c r="F104" s="2073" t="s">
        <v>768</v>
      </c>
      <c r="G104" s="2067">
        <v>23546</v>
      </c>
      <c r="H104" s="2067">
        <v>11437</v>
      </c>
      <c r="I104" s="2078">
        <v>12109</v>
      </c>
      <c r="J104" s="2067">
        <v>12495</v>
      </c>
      <c r="K104" s="2067">
        <v>6246</v>
      </c>
      <c r="L104" s="2067">
        <v>6249</v>
      </c>
      <c r="M104" s="2068">
        <f t="shared" si="0"/>
        <v>53.066338231546759</v>
      </c>
      <c r="N104" s="2068">
        <f t="shared" si="0"/>
        <v>54.612223485179676</v>
      </c>
      <c r="O104" s="2069">
        <f t="shared" si="0"/>
        <v>51.606243290114797</v>
      </c>
    </row>
    <row r="105" spans="1:15" ht="12.75" customHeight="1">
      <c r="A105" s="2341" t="s">
        <v>770</v>
      </c>
      <c r="B105" s="2342"/>
      <c r="C105" s="2342"/>
      <c r="D105" s="2342"/>
      <c r="E105" s="2343"/>
      <c r="F105" s="2074" t="s">
        <v>771</v>
      </c>
      <c r="G105" s="2067">
        <f t="shared" ref="G105:G111" si="1">+H105+I105</f>
        <v>23099</v>
      </c>
      <c r="H105" s="2070">
        <v>11207</v>
      </c>
      <c r="I105" s="2070">
        <v>11892</v>
      </c>
      <c r="J105" s="2067">
        <f t="shared" ref="J105:J114" si="2">+K105+L105</f>
        <v>9491</v>
      </c>
      <c r="K105" s="2070">
        <v>4739</v>
      </c>
      <c r="L105" s="2070">
        <v>4752</v>
      </c>
      <c r="M105" s="2068">
        <f t="shared" si="0"/>
        <v>41.088358803411403</v>
      </c>
      <c r="N105" s="2068">
        <f t="shared" si="0"/>
        <v>42.286071205496569</v>
      </c>
      <c r="O105" s="2069">
        <f t="shared" si="0"/>
        <v>39.959636730575177</v>
      </c>
    </row>
    <row r="106" spans="1:15" ht="12.75" customHeight="1">
      <c r="A106" s="2340" t="s">
        <v>712</v>
      </c>
      <c r="B106" s="2340"/>
      <c r="C106" s="2340"/>
      <c r="D106" s="2340"/>
      <c r="E106" s="2340"/>
      <c r="F106" s="2074" t="s">
        <v>772</v>
      </c>
      <c r="G106" s="2067">
        <f t="shared" si="1"/>
        <v>22907</v>
      </c>
      <c r="H106" s="2070">
        <v>11109</v>
      </c>
      <c r="I106" s="2070">
        <v>11798</v>
      </c>
      <c r="J106" s="2067">
        <f t="shared" si="2"/>
        <v>12865</v>
      </c>
      <c r="K106" s="2070">
        <v>6391</v>
      </c>
      <c r="L106" s="2070">
        <v>6474</v>
      </c>
      <c r="M106" s="2068">
        <f t="shared" si="0"/>
        <v>56.161871916881303</v>
      </c>
      <c r="N106" s="2068">
        <f t="shared" si="0"/>
        <v>57.529930686830497</v>
      </c>
      <c r="O106" s="2069">
        <f t="shared" si="0"/>
        <v>54.873707408035258</v>
      </c>
    </row>
    <row r="107" spans="1:15" ht="12.75" customHeight="1">
      <c r="A107" s="2340" t="s">
        <v>713</v>
      </c>
      <c r="B107" s="2340"/>
      <c r="C107" s="2340"/>
      <c r="D107" s="2340"/>
      <c r="E107" s="2340"/>
      <c r="F107" s="2074" t="s">
        <v>772</v>
      </c>
      <c r="G107" s="2067">
        <f t="shared" si="1"/>
        <v>22907</v>
      </c>
      <c r="H107" s="2070">
        <v>11109</v>
      </c>
      <c r="I107" s="2070">
        <v>11798</v>
      </c>
      <c r="J107" s="2067">
        <f t="shared" si="2"/>
        <v>12863</v>
      </c>
      <c r="K107" s="2070">
        <v>6389</v>
      </c>
      <c r="L107" s="2070">
        <v>6474</v>
      </c>
      <c r="M107" s="2068">
        <f t="shared" si="0"/>
        <v>56.153140961278211</v>
      </c>
      <c r="N107" s="2068">
        <f t="shared" si="0"/>
        <v>57.511927266180571</v>
      </c>
      <c r="O107" s="2069">
        <f t="shared" si="0"/>
        <v>54.873707408035258</v>
      </c>
    </row>
    <row r="108" spans="1:15" ht="12.75" customHeight="1">
      <c r="A108" s="2340" t="s">
        <v>690</v>
      </c>
      <c r="B108" s="2340"/>
      <c r="C108" s="2340"/>
      <c r="D108" s="2340"/>
      <c r="E108" s="2340"/>
      <c r="F108" s="2074" t="s">
        <v>772</v>
      </c>
      <c r="G108" s="2067">
        <f t="shared" si="1"/>
        <v>22892</v>
      </c>
      <c r="H108" s="2070">
        <v>11102</v>
      </c>
      <c r="I108" s="2070">
        <v>11790</v>
      </c>
      <c r="J108" s="2067">
        <f t="shared" si="2"/>
        <v>12778</v>
      </c>
      <c r="K108" s="2070">
        <v>6340</v>
      </c>
      <c r="L108" s="2070">
        <v>6438</v>
      </c>
      <c r="M108" s="2068">
        <f t="shared" si="0"/>
        <v>55.818626594443479</v>
      </c>
      <c r="N108" s="2068">
        <f t="shared" si="0"/>
        <v>57.106827598630886</v>
      </c>
      <c r="O108" s="2069">
        <f t="shared" si="0"/>
        <v>54.605597964376592</v>
      </c>
    </row>
    <row r="109" spans="1:15" ht="12.75" customHeight="1">
      <c r="A109" s="2340" t="s">
        <v>725</v>
      </c>
      <c r="B109" s="2340"/>
      <c r="C109" s="2340"/>
      <c r="D109" s="2340"/>
      <c r="E109" s="2340"/>
      <c r="F109" s="2066" t="s">
        <v>773</v>
      </c>
      <c r="G109" s="2067">
        <f t="shared" si="1"/>
        <v>22411</v>
      </c>
      <c r="H109" s="2067">
        <v>10868</v>
      </c>
      <c r="I109" s="2067">
        <v>11543</v>
      </c>
      <c r="J109" s="2067">
        <f t="shared" si="2"/>
        <v>11547</v>
      </c>
      <c r="K109" s="2067">
        <v>5610</v>
      </c>
      <c r="L109" s="2067">
        <v>5937</v>
      </c>
      <c r="M109" s="2068">
        <f t="shared" si="0"/>
        <v>51.523805274195709</v>
      </c>
      <c r="N109" s="2068">
        <f t="shared" si="0"/>
        <v>51.61943319838057</v>
      </c>
      <c r="O109" s="2069">
        <f t="shared" si="0"/>
        <v>51.433769384042272</v>
      </c>
    </row>
    <row r="110" spans="1:15" ht="12.75" customHeight="1">
      <c r="A110" s="2341" t="s">
        <v>722</v>
      </c>
      <c r="B110" s="2342"/>
      <c r="C110" s="2342"/>
      <c r="D110" s="2342"/>
      <c r="E110" s="2343"/>
      <c r="F110" s="2074" t="s">
        <v>774</v>
      </c>
      <c r="G110" s="2067">
        <f t="shared" si="1"/>
        <v>22720</v>
      </c>
      <c r="H110" s="2070">
        <v>11017</v>
      </c>
      <c r="I110" s="2070">
        <v>11703</v>
      </c>
      <c r="J110" s="2067">
        <f t="shared" si="2"/>
        <v>12571</v>
      </c>
      <c r="K110" s="2070">
        <v>6225</v>
      </c>
      <c r="L110" s="2070">
        <v>6346</v>
      </c>
      <c r="M110" s="2068">
        <f t="shared" si="0"/>
        <v>55.330105633802816</v>
      </c>
      <c r="N110" s="2068">
        <f t="shared" si="0"/>
        <v>56.503585368067533</v>
      </c>
      <c r="O110" s="2069">
        <f t="shared" si="0"/>
        <v>54.225412287447661</v>
      </c>
    </row>
    <row r="111" spans="1:15" ht="12.75" customHeight="1">
      <c r="A111" s="2341" t="s">
        <v>724</v>
      </c>
      <c r="B111" s="2342"/>
      <c r="C111" s="2342"/>
      <c r="D111" s="2342"/>
      <c r="E111" s="2343"/>
      <c r="F111" s="2074" t="s">
        <v>774</v>
      </c>
      <c r="G111" s="2067">
        <f t="shared" si="1"/>
        <v>22720</v>
      </c>
      <c r="H111" s="2070">
        <v>11017</v>
      </c>
      <c r="I111" s="2070">
        <v>11703</v>
      </c>
      <c r="J111" s="2067">
        <f t="shared" si="2"/>
        <v>12571</v>
      </c>
      <c r="K111" s="2070">
        <v>6223</v>
      </c>
      <c r="L111" s="2070">
        <v>6348</v>
      </c>
      <c r="M111" s="2068">
        <f t="shared" si="0"/>
        <v>55.330105633802816</v>
      </c>
      <c r="N111" s="2068">
        <f t="shared" si="0"/>
        <v>56.485431605700278</v>
      </c>
      <c r="O111" s="2069">
        <f t="shared" si="0"/>
        <v>54.242501922583955</v>
      </c>
    </row>
    <row r="112" spans="1:15" ht="12.75" customHeight="1">
      <c r="A112" s="2340" t="s">
        <v>727</v>
      </c>
      <c r="B112" s="2340"/>
      <c r="C112" s="2340"/>
      <c r="D112" s="2340"/>
      <c r="E112" s="2340"/>
      <c r="F112" s="2066" t="s">
        <v>775</v>
      </c>
      <c r="G112" s="2067">
        <f>H112+I112</f>
        <v>22485</v>
      </c>
      <c r="H112" s="2067">
        <v>10898</v>
      </c>
      <c r="I112" s="2067">
        <v>11587</v>
      </c>
      <c r="J112" s="2067">
        <f t="shared" si="2"/>
        <v>8819</v>
      </c>
      <c r="K112" s="2067">
        <v>4312</v>
      </c>
      <c r="L112" s="2067">
        <v>4507</v>
      </c>
      <c r="M112" s="2068">
        <f t="shared" si="0"/>
        <v>39.221703357794084</v>
      </c>
      <c r="N112" s="2068">
        <f t="shared" si="0"/>
        <v>39.566893007891359</v>
      </c>
      <c r="O112" s="2069">
        <f t="shared" si="0"/>
        <v>38.897039785967031</v>
      </c>
    </row>
    <row r="113" spans="1:15" ht="12.75" customHeight="1">
      <c r="A113" s="2340" t="s">
        <v>691</v>
      </c>
      <c r="B113" s="2340"/>
      <c r="C113" s="2340"/>
      <c r="D113" s="2340"/>
      <c r="E113" s="2340"/>
      <c r="F113" s="2066" t="s">
        <v>776</v>
      </c>
      <c r="G113" s="2067">
        <f>H113+I113</f>
        <v>22155</v>
      </c>
      <c r="H113" s="2067">
        <v>10734</v>
      </c>
      <c r="I113" s="2067">
        <v>11421</v>
      </c>
      <c r="J113" s="2067">
        <f t="shared" si="2"/>
        <v>10753</v>
      </c>
      <c r="K113" s="2067">
        <v>5263</v>
      </c>
      <c r="L113" s="2067">
        <v>5490</v>
      </c>
      <c r="M113" s="2068">
        <f t="shared" si="0"/>
        <v>48.535319341006542</v>
      </c>
      <c r="N113" s="2068">
        <f t="shared" si="0"/>
        <v>49.031116079746603</v>
      </c>
      <c r="O113" s="2069">
        <f t="shared" si="0"/>
        <v>48.069345941686372</v>
      </c>
    </row>
    <row r="114" spans="1:15" ht="12.75" customHeight="1">
      <c r="A114" s="2340" t="s">
        <v>693</v>
      </c>
      <c r="B114" s="2340"/>
      <c r="C114" s="2340"/>
      <c r="D114" s="2340"/>
      <c r="E114" s="2340"/>
      <c r="F114" s="2066" t="s">
        <v>777</v>
      </c>
      <c r="G114" s="2067">
        <f>H114+I114</f>
        <v>22125</v>
      </c>
      <c r="H114" s="2067">
        <v>10728</v>
      </c>
      <c r="I114" s="2067">
        <v>11397</v>
      </c>
      <c r="J114" s="2067">
        <f t="shared" si="2"/>
        <v>11502</v>
      </c>
      <c r="K114" s="2067">
        <v>5636</v>
      </c>
      <c r="L114" s="2067">
        <v>5866</v>
      </c>
      <c r="M114" s="2068">
        <f t="shared" si="0"/>
        <v>51.986440677966108</v>
      </c>
      <c r="N114" s="2068">
        <f t="shared" si="0"/>
        <v>52.535421327367636</v>
      </c>
      <c r="O114" s="2069">
        <f t="shared" si="0"/>
        <v>51.469685004825827</v>
      </c>
    </row>
    <row r="115" spans="1:15" ht="12.75" customHeight="1" thickBot="1">
      <c r="A115" s="2339"/>
      <c r="B115" s="2339"/>
      <c r="C115" s="2339"/>
      <c r="D115" s="2339"/>
      <c r="E115" s="2339"/>
      <c r="F115" s="2079"/>
      <c r="G115" s="2080"/>
      <c r="H115" s="2080"/>
      <c r="I115" s="2080"/>
      <c r="J115" s="2080"/>
      <c r="K115" s="2080"/>
      <c r="L115" s="2080"/>
      <c r="M115" s="2081"/>
      <c r="N115" s="2081"/>
      <c r="O115" s="2082"/>
    </row>
    <row r="116" spans="1:15" ht="12.75" customHeight="1">
      <c r="A116" s="12" t="s">
        <v>778</v>
      </c>
      <c r="F116" s="12" t="s">
        <v>678</v>
      </c>
    </row>
  </sheetData>
  <mergeCells count="208">
    <mergeCell ref="K4:K5"/>
    <mergeCell ref="L4:L5"/>
    <mergeCell ref="M4:M5"/>
    <mergeCell ref="N4:N5"/>
    <mergeCell ref="O4:O5"/>
    <mergeCell ref="A6:E6"/>
    <mergeCell ref="A2:E3"/>
    <mergeCell ref="F2:F3"/>
    <mergeCell ref="G2:I2"/>
    <mergeCell ref="J2:L2"/>
    <mergeCell ref="M2:O2"/>
    <mergeCell ref="A4:E5"/>
    <mergeCell ref="G4:G5"/>
    <mergeCell ref="H4:H5"/>
    <mergeCell ref="I4:I5"/>
    <mergeCell ref="J4:J5"/>
    <mergeCell ref="A13:E13"/>
    <mergeCell ref="A14:E14"/>
    <mergeCell ref="A15:E15"/>
    <mergeCell ref="A16:E17"/>
    <mergeCell ref="G16:G17"/>
    <mergeCell ref="H16:H17"/>
    <mergeCell ref="A7:E7"/>
    <mergeCell ref="A8:E8"/>
    <mergeCell ref="A9:E9"/>
    <mergeCell ref="A10:E10"/>
    <mergeCell ref="A11:E11"/>
    <mergeCell ref="A12:E12"/>
    <mergeCell ref="M19:M20"/>
    <mergeCell ref="N19:N20"/>
    <mergeCell ref="O19:O20"/>
    <mergeCell ref="A21:E21"/>
    <mergeCell ref="A22:E22"/>
    <mergeCell ref="A23:E23"/>
    <mergeCell ref="O16:O17"/>
    <mergeCell ref="A18:E18"/>
    <mergeCell ref="A19:E20"/>
    <mergeCell ref="F19:F20"/>
    <mergeCell ref="G19:G20"/>
    <mergeCell ref="H19:H20"/>
    <mergeCell ref="I19:I20"/>
    <mergeCell ref="J19:J20"/>
    <mergeCell ref="K19:K20"/>
    <mergeCell ref="L19:L20"/>
    <mergeCell ref="I16:I17"/>
    <mergeCell ref="J16:J17"/>
    <mergeCell ref="K16:K17"/>
    <mergeCell ref="L16:L17"/>
    <mergeCell ref="M16:M17"/>
    <mergeCell ref="N16:N17"/>
    <mergeCell ref="O24:O25"/>
    <mergeCell ref="A26:E26"/>
    <mergeCell ref="A27:E27"/>
    <mergeCell ref="A24:E25"/>
    <mergeCell ref="G24:G25"/>
    <mergeCell ref="H24:H25"/>
    <mergeCell ref="I24:I25"/>
    <mergeCell ref="J24:J25"/>
    <mergeCell ref="K24:K25"/>
    <mergeCell ref="A28:E28"/>
    <mergeCell ref="A29:E29"/>
    <mergeCell ref="A30:E30"/>
    <mergeCell ref="A31:E31"/>
    <mergeCell ref="A32:E32"/>
    <mergeCell ref="A33:E34"/>
    <mergeCell ref="L24:L25"/>
    <mergeCell ref="M24:M25"/>
    <mergeCell ref="N24:N25"/>
    <mergeCell ref="O36:O37"/>
    <mergeCell ref="A38:E38"/>
    <mergeCell ref="A39:E39"/>
    <mergeCell ref="M33:M34"/>
    <mergeCell ref="N33:N34"/>
    <mergeCell ref="O33:O34"/>
    <mergeCell ref="A35:E35"/>
    <mergeCell ref="A36:E37"/>
    <mergeCell ref="G36:G37"/>
    <mergeCell ref="H36:H37"/>
    <mergeCell ref="I36:I37"/>
    <mergeCell ref="J36:J37"/>
    <mergeCell ref="K36:K37"/>
    <mergeCell ref="G33:G34"/>
    <mergeCell ref="H33:H34"/>
    <mergeCell ref="I33:I34"/>
    <mergeCell ref="J33:J34"/>
    <mergeCell ref="K33:K34"/>
    <mergeCell ref="L33:L34"/>
    <mergeCell ref="A40:E40"/>
    <mergeCell ref="A41:E41"/>
    <mergeCell ref="A42:E42"/>
    <mergeCell ref="A43:E43"/>
    <mergeCell ref="A44:E44"/>
    <mergeCell ref="A45:E45"/>
    <mergeCell ref="L36:L37"/>
    <mergeCell ref="M36:M37"/>
    <mergeCell ref="N36:N37"/>
    <mergeCell ref="A52:E52"/>
    <mergeCell ref="A53:E53"/>
    <mergeCell ref="A54:E54"/>
    <mergeCell ref="A55:E55"/>
    <mergeCell ref="A56:E56"/>
    <mergeCell ref="A57:E57"/>
    <mergeCell ref="A46:E46"/>
    <mergeCell ref="A47:E47"/>
    <mergeCell ref="A48:E48"/>
    <mergeCell ref="A49:E49"/>
    <mergeCell ref="A50:E50"/>
    <mergeCell ref="A51:E51"/>
    <mergeCell ref="J60:J61"/>
    <mergeCell ref="K60:K61"/>
    <mergeCell ref="L60:L61"/>
    <mergeCell ref="M60:M61"/>
    <mergeCell ref="N60:N61"/>
    <mergeCell ref="O60:O61"/>
    <mergeCell ref="A58:E58"/>
    <mergeCell ref="A59:E59"/>
    <mergeCell ref="A60:E61"/>
    <mergeCell ref="G60:G61"/>
    <mergeCell ref="H60:H61"/>
    <mergeCell ref="I60:I61"/>
    <mergeCell ref="O62:O63"/>
    <mergeCell ref="A63:E63"/>
    <mergeCell ref="A64:E64"/>
    <mergeCell ref="A62:E62"/>
    <mergeCell ref="G62:G63"/>
    <mergeCell ref="H62:H63"/>
    <mergeCell ref="I62:I63"/>
    <mergeCell ref="J62:J63"/>
    <mergeCell ref="K62:K63"/>
    <mergeCell ref="A65:E65"/>
    <mergeCell ref="A66:E66"/>
    <mergeCell ref="A67:E67"/>
    <mergeCell ref="A68:E68"/>
    <mergeCell ref="A69:E69"/>
    <mergeCell ref="A70:E70"/>
    <mergeCell ref="L62:L63"/>
    <mergeCell ref="M62:M63"/>
    <mergeCell ref="N62:N63"/>
    <mergeCell ref="M73:M74"/>
    <mergeCell ref="N73:N74"/>
    <mergeCell ref="O73:O74"/>
    <mergeCell ref="A71:E71"/>
    <mergeCell ref="A72:E72"/>
    <mergeCell ref="A73:E73"/>
    <mergeCell ref="G73:G74"/>
    <mergeCell ref="H73:H74"/>
    <mergeCell ref="I73:I74"/>
    <mergeCell ref="A74:E74"/>
    <mergeCell ref="A75:E75"/>
    <mergeCell ref="A76:E76"/>
    <mergeCell ref="A77:E77"/>
    <mergeCell ref="A78:E79"/>
    <mergeCell ref="G78:G79"/>
    <mergeCell ref="H78:H79"/>
    <mergeCell ref="J73:J74"/>
    <mergeCell ref="K73:K74"/>
    <mergeCell ref="L73:L74"/>
    <mergeCell ref="O78:O79"/>
    <mergeCell ref="A80:E80"/>
    <mergeCell ref="A81:E81"/>
    <mergeCell ref="A82:E82"/>
    <mergeCell ref="A83:E83"/>
    <mergeCell ref="A84:E84"/>
    <mergeCell ref="I78:I79"/>
    <mergeCell ref="J78:J79"/>
    <mergeCell ref="K78:K79"/>
    <mergeCell ref="L78:L79"/>
    <mergeCell ref="M78:M79"/>
    <mergeCell ref="N78:N79"/>
    <mergeCell ref="N86:N87"/>
    <mergeCell ref="O86:O87"/>
    <mergeCell ref="A88:E88"/>
    <mergeCell ref="A85:E85"/>
    <mergeCell ref="A86:E87"/>
    <mergeCell ref="G86:G87"/>
    <mergeCell ref="H86:H87"/>
    <mergeCell ref="I86:I87"/>
    <mergeCell ref="J86:J87"/>
    <mergeCell ref="A89:E89"/>
    <mergeCell ref="A90:E90"/>
    <mergeCell ref="A91:E91"/>
    <mergeCell ref="A92:E92"/>
    <mergeCell ref="A93:E93"/>
    <mergeCell ref="A94:E94"/>
    <mergeCell ref="K86:K87"/>
    <mergeCell ref="L86:L87"/>
    <mergeCell ref="M86:M87"/>
    <mergeCell ref="A101:E101"/>
    <mergeCell ref="A102:E102"/>
    <mergeCell ref="A103:E103"/>
    <mergeCell ref="A104:E104"/>
    <mergeCell ref="A105:E105"/>
    <mergeCell ref="A106:E106"/>
    <mergeCell ref="A95:E95"/>
    <mergeCell ref="A96:E96"/>
    <mergeCell ref="A97:E97"/>
    <mergeCell ref="A98:E98"/>
    <mergeCell ref="A99:E99"/>
    <mergeCell ref="A100:E100"/>
    <mergeCell ref="A115:E115"/>
    <mergeCell ref="A113:E113"/>
    <mergeCell ref="A114:E114"/>
    <mergeCell ref="A107:E107"/>
    <mergeCell ref="A108:E108"/>
    <mergeCell ref="A109:E109"/>
    <mergeCell ref="A110:E110"/>
    <mergeCell ref="A111:E111"/>
    <mergeCell ref="A112:E112"/>
  </mergeCells>
  <phoneticPr fontId="4"/>
  <printOptions horizontalCentered="1"/>
  <pageMargins left="0.74803149606299213" right="0.74803149606299213" top="0.98425196850393704" bottom="0.98425196850393704" header="0.51181102362204722" footer="0.51181102362204722"/>
  <pageSetup paperSize="9" scale="73" fitToHeight="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267B9-B22B-420C-B780-9C6F5EE7E99B}">
  <sheetPr codeName="Sheet36">
    <pageSetUpPr fitToPage="1"/>
  </sheetPr>
  <dimension ref="A1:J25"/>
  <sheetViews>
    <sheetView workbookViewId="0"/>
  </sheetViews>
  <sheetFormatPr defaultColWidth="9" defaultRowHeight="13.2"/>
  <cols>
    <col min="1" max="1" width="4" style="2" customWidth="1"/>
    <col min="2" max="2" width="2.3984375" style="2" customWidth="1"/>
    <col min="3" max="3" width="2.69921875" style="2" customWidth="1"/>
    <col min="4" max="10" width="10.59765625" style="2" customWidth="1"/>
    <col min="11" max="16384" width="9" style="2"/>
  </cols>
  <sheetData>
    <row r="1" spans="1:10" ht="30" customHeight="1" thickBot="1">
      <c r="A1" s="259" t="s">
        <v>779</v>
      </c>
    </row>
    <row r="2" spans="1:10" ht="18.75" customHeight="1">
      <c r="A2" s="2370" t="s">
        <v>49</v>
      </c>
      <c r="B2" s="2370"/>
      <c r="C2" s="2371"/>
      <c r="D2" s="2374" t="s">
        <v>780</v>
      </c>
      <c r="E2" s="2375"/>
      <c r="F2" s="2375"/>
      <c r="G2" s="2376" t="s">
        <v>781</v>
      </c>
      <c r="H2" s="2378" t="s">
        <v>782</v>
      </c>
      <c r="I2" s="2378"/>
      <c r="J2" s="2379"/>
    </row>
    <row r="3" spans="1:10" ht="18.75" customHeight="1">
      <c r="A3" s="2372"/>
      <c r="B3" s="2372"/>
      <c r="C3" s="2373"/>
      <c r="D3" s="558" t="s">
        <v>175</v>
      </c>
      <c r="E3" s="558" t="s">
        <v>164</v>
      </c>
      <c r="F3" s="558" t="s">
        <v>165</v>
      </c>
      <c r="G3" s="2377"/>
      <c r="H3" s="558" t="s">
        <v>175</v>
      </c>
      <c r="I3" s="558" t="s">
        <v>164</v>
      </c>
      <c r="J3" s="559" t="s">
        <v>165</v>
      </c>
    </row>
    <row r="4" spans="1:10" ht="18.75" customHeight="1">
      <c r="A4" s="560"/>
      <c r="B4" s="560"/>
      <c r="C4" s="561"/>
      <c r="D4" s="98" t="s">
        <v>229</v>
      </c>
      <c r="E4" s="98" t="s">
        <v>452</v>
      </c>
      <c r="F4" s="98" t="s">
        <v>229</v>
      </c>
      <c r="G4" s="86" t="s">
        <v>229</v>
      </c>
      <c r="H4" s="86" t="s">
        <v>229</v>
      </c>
      <c r="I4" s="86" t="s">
        <v>229</v>
      </c>
      <c r="J4" s="39" t="s">
        <v>229</v>
      </c>
    </row>
    <row r="5" spans="1:10" ht="18.75" customHeight="1">
      <c r="A5" s="509" t="s">
        <v>589</v>
      </c>
      <c r="B5" s="253">
        <v>21</v>
      </c>
      <c r="C5" s="562" t="s">
        <v>349</v>
      </c>
      <c r="D5" s="233">
        <v>25337</v>
      </c>
      <c r="E5" s="233">
        <v>12154</v>
      </c>
      <c r="F5" s="233">
        <v>13183</v>
      </c>
      <c r="G5" s="234">
        <v>82.7</v>
      </c>
      <c r="H5" s="256">
        <v>14</v>
      </c>
      <c r="I5" s="256">
        <v>8</v>
      </c>
      <c r="J5" s="240">
        <v>6</v>
      </c>
    </row>
    <row r="6" spans="1:10" ht="18.75" customHeight="1">
      <c r="A6" s="306"/>
      <c r="B6" s="253">
        <v>22</v>
      </c>
      <c r="C6" s="562"/>
      <c r="D6" s="233">
        <v>25096</v>
      </c>
      <c r="E6" s="233">
        <v>12034</v>
      </c>
      <c r="F6" s="233">
        <v>13062</v>
      </c>
      <c r="G6" s="234">
        <v>82.9</v>
      </c>
      <c r="H6" s="256">
        <v>18</v>
      </c>
      <c r="I6" s="256">
        <v>8</v>
      </c>
      <c r="J6" s="240">
        <v>10</v>
      </c>
    </row>
    <row r="7" spans="1:10" ht="18.75" customHeight="1">
      <c r="A7" s="306"/>
      <c r="B7" s="253">
        <v>23</v>
      </c>
      <c r="C7" s="562"/>
      <c r="D7" s="233">
        <v>25001</v>
      </c>
      <c r="E7" s="233">
        <v>11987</v>
      </c>
      <c r="F7" s="233">
        <v>13014</v>
      </c>
      <c r="G7" s="234">
        <v>83.4</v>
      </c>
      <c r="H7" s="256">
        <v>16</v>
      </c>
      <c r="I7" s="256">
        <v>8</v>
      </c>
      <c r="J7" s="240">
        <v>8</v>
      </c>
    </row>
    <row r="8" spans="1:10" ht="18.75" customHeight="1">
      <c r="A8" s="306"/>
      <c r="B8" s="253">
        <v>24</v>
      </c>
      <c r="C8" s="562"/>
      <c r="D8" s="233">
        <v>24746</v>
      </c>
      <c r="E8" s="233">
        <v>11884</v>
      </c>
      <c r="F8" s="233">
        <v>12862</v>
      </c>
      <c r="G8" s="234">
        <v>83.7</v>
      </c>
      <c r="H8" s="256">
        <v>18</v>
      </c>
      <c r="I8" s="256">
        <v>10</v>
      </c>
      <c r="J8" s="240">
        <v>8</v>
      </c>
    </row>
    <row r="9" spans="1:10" ht="18.75" customHeight="1">
      <c r="A9" s="306"/>
      <c r="B9" s="253">
        <v>25</v>
      </c>
      <c r="C9" s="562"/>
      <c r="D9" s="233">
        <v>24433</v>
      </c>
      <c r="E9" s="233">
        <v>11727</v>
      </c>
      <c r="F9" s="233">
        <v>12706</v>
      </c>
      <c r="G9" s="234">
        <v>83.7</v>
      </c>
      <c r="H9" s="256">
        <v>19</v>
      </c>
      <c r="I9" s="256">
        <v>10</v>
      </c>
      <c r="J9" s="240">
        <v>9</v>
      </c>
    </row>
    <row r="10" spans="1:10" ht="18.75" customHeight="1">
      <c r="A10" s="306"/>
      <c r="B10" s="253">
        <v>26</v>
      </c>
      <c r="C10" s="562"/>
      <c r="D10" s="233">
        <v>24357</v>
      </c>
      <c r="E10" s="233">
        <v>11727</v>
      </c>
      <c r="F10" s="233">
        <v>12630</v>
      </c>
      <c r="G10" s="234">
        <v>84.3</v>
      </c>
      <c r="H10" s="256">
        <v>21</v>
      </c>
      <c r="I10" s="256">
        <v>10</v>
      </c>
      <c r="J10" s="240">
        <v>11</v>
      </c>
    </row>
    <row r="11" spans="1:10" ht="18.75" customHeight="1">
      <c r="A11" s="306"/>
      <c r="B11" s="253">
        <v>27</v>
      </c>
      <c r="C11" s="562"/>
      <c r="D11" s="233">
        <v>24108</v>
      </c>
      <c r="E11" s="233">
        <v>11631</v>
      </c>
      <c r="F11" s="233">
        <v>12477</v>
      </c>
      <c r="G11" s="234">
        <v>83.2</v>
      </c>
      <c r="H11" s="256">
        <v>20</v>
      </c>
      <c r="I11" s="256">
        <v>10</v>
      </c>
      <c r="J11" s="240">
        <v>10</v>
      </c>
    </row>
    <row r="12" spans="1:10" ht="18.75" customHeight="1">
      <c r="A12" s="306"/>
      <c r="B12" s="253">
        <v>28</v>
      </c>
      <c r="C12" s="562"/>
      <c r="D12" s="233">
        <v>24394</v>
      </c>
      <c r="E12" s="233">
        <v>11831</v>
      </c>
      <c r="F12" s="233">
        <v>12563</v>
      </c>
      <c r="G12" s="234">
        <v>85.5</v>
      </c>
      <c r="H12" s="256">
        <v>18</v>
      </c>
      <c r="I12" s="256">
        <v>9</v>
      </c>
      <c r="J12" s="240">
        <v>9</v>
      </c>
    </row>
    <row r="13" spans="1:10" ht="18.75" customHeight="1">
      <c r="A13" s="306"/>
      <c r="B13" s="253">
        <v>29</v>
      </c>
      <c r="C13" s="562"/>
      <c r="D13" s="233">
        <v>24139</v>
      </c>
      <c r="E13" s="233">
        <v>11747</v>
      </c>
      <c r="F13" s="233">
        <v>12392</v>
      </c>
      <c r="G13" s="234">
        <v>85.8</v>
      </c>
      <c r="H13" s="256">
        <v>17</v>
      </c>
      <c r="I13" s="256">
        <v>8</v>
      </c>
      <c r="J13" s="240">
        <v>9</v>
      </c>
    </row>
    <row r="14" spans="1:10" ht="18.75" customHeight="1">
      <c r="A14" s="306"/>
      <c r="B14" s="253">
        <v>30</v>
      </c>
      <c r="C14" s="562"/>
      <c r="D14" s="233">
        <v>23843</v>
      </c>
      <c r="E14" s="233">
        <v>11611</v>
      </c>
      <c r="F14" s="233">
        <v>12232</v>
      </c>
      <c r="G14" s="234">
        <v>85.9</v>
      </c>
      <c r="H14" s="256">
        <v>20</v>
      </c>
      <c r="I14" s="256">
        <v>9</v>
      </c>
      <c r="J14" s="240">
        <v>11</v>
      </c>
    </row>
    <row r="15" spans="1:10" ht="18.75" customHeight="1">
      <c r="A15" s="306"/>
      <c r="B15" s="253">
        <v>31</v>
      </c>
      <c r="C15" s="562"/>
      <c r="D15" s="233">
        <v>23554</v>
      </c>
      <c r="E15" s="233">
        <v>11440</v>
      </c>
      <c r="F15" s="233">
        <v>12114</v>
      </c>
      <c r="G15" s="234">
        <v>86.1</v>
      </c>
      <c r="H15" s="256">
        <v>19</v>
      </c>
      <c r="I15" s="256">
        <v>9</v>
      </c>
      <c r="J15" s="240">
        <v>10</v>
      </c>
    </row>
    <row r="16" spans="1:10" ht="18.75" customHeight="1">
      <c r="A16" s="306" t="s">
        <v>590</v>
      </c>
      <c r="B16" s="253">
        <v>2</v>
      </c>
      <c r="C16" s="562" t="s">
        <v>349</v>
      </c>
      <c r="D16" s="233">
        <v>23249</v>
      </c>
      <c r="E16" s="233">
        <v>11287</v>
      </c>
      <c r="F16" s="233">
        <v>11962</v>
      </c>
      <c r="G16" s="234">
        <v>86.4</v>
      </c>
      <c r="H16" s="256">
        <v>16</v>
      </c>
      <c r="I16" s="256">
        <v>8</v>
      </c>
      <c r="J16" s="240">
        <v>8</v>
      </c>
    </row>
    <row r="17" spans="1:10" ht="18.75" customHeight="1">
      <c r="A17" s="306"/>
      <c r="B17" s="253">
        <v>3</v>
      </c>
      <c r="C17" s="562"/>
      <c r="D17" s="233">
        <v>22949</v>
      </c>
      <c r="E17" s="233">
        <v>11129</v>
      </c>
      <c r="F17" s="233">
        <v>11820</v>
      </c>
      <c r="G17" s="234">
        <v>86.6</v>
      </c>
      <c r="H17" s="256">
        <v>15</v>
      </c>
      <c r="I17" s="256">
        <v>7</v>
      </c>
      <c r="J17" s="240">
        <v>8</v>
      </c>
    </row>
    <row r="18" spans="1:10" ht="18.75" customHeight="1">
      <c r="A18" s="306"/>
      <c r="B18" s="253">
        <v>4</v>
      </c>
      <c r="C18" s="562"/>
      <c r="D18" s="233">
        <v>22649</v>
      </c>
      <c r="E18" s="233">
        <v>10979</v>
      </c>
      <c r="F18" s="233">
        <v>11670</v>
      </c>
      <c r="G18" s="234">
        <v>86.6</v>
      </c>
      <c r="H18" s="256">
        <v>15</v>
      </c>
      <c r="I18" s="256">
        <v>7</v>
      </c>
      <c r="J18" s="240">
        <v>8</v>
      </c>
    </row>
    <row r="19" spans="1:10" ht="18.75" customHeight="1">
      <c r="A19" s="306"/>
      <c r="B19" s="253">
        <v>5</v>
      </c>
      <c r="C19" s="562"/>
      <c r="D19" s="233">
        <v>22365</v>
      </c>
      <c r="E19" s="233">
        <v>10843</v>
      </c>
      <c r="F19" s="233">
        <v>11522</v>
      </c>
      <c r="G19" s="234">
        <v>86.7</v>
      </c>
      <c r="H19" s="256">
        <v>17</v>
      </c>
      <c r="I19" s="256">
        <v>8</v>
      </c>
      <c r="J19" s="240">
        <v>9</v>
      </c>
    </row>
    <row r="20" spans="1:10" ht="18.75" customHeight="1" thickBot="1">
      <c r="A20" s="563"/>
      <c r="B20" s="92"/>
      <c r="C20" s="564"/>
      <c r="D20" s="565"/>
      <c r="E20" s="565"/>
      <c r="F20" s="565"/>
      <c r="G20" s="566"/>
      <c r="H20" s="535"/>
      <c r="I20" s="535"/>
      <c r="J20" s="481"/>
    </row>
    <row r="21" spans="1:10" ht="18.75" customHeight="1">
      <c r="A21" s="11" t="s">
        <v>783</v>
      </c>
      <c r="B21" s="279"/>
      <c r="C21" s="306"/>
      <c r="D21" s="567"/>
      <c r="E21" s="567"/>
      <c r="F21" s="567"/>
      <c r="G21" s="236"/>
      <c r="H21" s="253"/>
      <c r="I21" s="253"/>
      <c r="J21" s="253"/>
    </row>
    <row r="22" spans="1:10" ht="18.75" customHeight="1">
      <c r="A22" s="11"/>
      <c r="B22" s="279"/>
      <c r="C22" s="306"/>
      <c r="D22" s="568" t="s">
        <v>784</v>
      </c>
      <c r="E22" s="567"/>
      <c r="F22" s="567"/>
      <c r="G22" s="236"/>
      <c r="H22" s="253"/>
      <c r="I22" s="253"/>
      <c r="J22" s="253"/>
    </row>
    <row r="23" spans="1:10" ht="18.75" customHeight="1">
      <c r="A23" s="271"/>
      <c r="C23" s="11"/>
      <c r="D23" s="11" t="s">
        <v>785</v>
      </c>
    </row>
    <row r="24" spans="1:10" ht="18.75" customHeight="1">
      <c r="D24" s="271" t="s">
        <v>786</v>
      </c>
    </row>
    <row r="25" spans="1:10" ht="18.75" customHeight="1"/>
  </sheetData>
  <mergeCells count="4">
    <mergeCell ref="A2:C3"/>
    <mergeCell ref="D2:F2"/>
    <mergeCell ref="G2:G3"/>
    <mergeCell ref="H2:J2"/>
  </mergeCells>
  <phoneticPr fontId="4"/>
  <printOptions horizontalCentered="1"/>
  <pageMargins left="0.74803149606299213" right="0.74803149606299213" top="0.98425196850393704" bottom="0.98425196850393704" header="0.51181102362204722" footer="0.51181102362204722"/>
  <pageSetup paperSize="9" scale="95"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4FAFC-2FA8-4062-94CB-FCAFDA86C533}">
  <sheetPr codeName="Sheet88"/>
  <dimension ref="A1"/>
  <sheetViews>
    <sheetView workbookViewId="0">
      <selection activeCell="J2" sqref="J2"/>
    </sheetView>
  </sheetViews>
  <sheetFormatPr defaultRowHeight="18"/>
  <sheetData/>
  <phoneticPr fontId="4"/>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C03E-6762-468A-909E-82C3B68E8590}">
  <sheetPr codeName="Sheet89"/>
  <dimension ref="A1:J21"/>
  <sheetViews>
    <sheetView zoomScaleNormal="100" workbookViewId="0">
      <selection activeCell="Q17" sqref="Q17"/>
    </sheetView>
  </sheetViews>
  <sheetFormatPr defaultColWidth="8.09765625" defaultRowHeight="10.8"/>
  <cols>
    <col min="1" max="1" width="7.296875" style="1201" customWidth="1"/>
    <col min="2" max="11" width="9.09765625" style="1201" customWidth="1"/>
    <col min="12" max="16384" width="8.09765625" style="1201"/>
  </cols>
  <sheetData>
    <row r="1" spans="1:10" ht="30" customHeight="1" thickBot="1">
      <c r="A1" s="1200" t="s">
        <v>2553</v>
      </c>
    </row>
    <row r="2" spans="1:10" s="1993" customFormat="1" ht="21" customHeight="1">
      <c r="A2" s="2380" t="s">
        <v>2554</v>
      </c>
      <c r="B2" s="2382" t="s">
        <v>2555</v>
      </c>
      <c r="C2" s="2383"/>
      <c r="D2" s="2383"/>
      <c r="E2" s="2383"/>
      <c r="F2" s="2382" t="s">
        <v>2556</v>
      </c>
      <c r="G2" s="2383"/>
      <c r="H2" s="2383"/>
      <c r="I2" s="2383"/>
      <c r="J2" s="2384"/>
    </row>
    <row r="3" spans="1:10" s="2003" customFormat="1" ht="23.25" customHeight="1">
      <c r="A3" s="2381"/>
      <c r="B3" s="2084" t="s">
        <v>2557</v>
      </c>
      <c r="C3" s="2084" t="s">
        <v>2558</v>
      </c>
      <c r="D3" s="2084" t="s">
        <v>2559</v>
      </c>
      <c r="E3" s="2084" t="s">
        <v>2560</v>
      </c>
      <c r="F3" s="2084" t="s">
        <v>2561</v>
      </c>
      <c r="G3" s="2084" t="s">
        <v>2562</v>
      </c>
      <c r="H3" s="2085" t="s">
        <v>2563</v>
      </c>
      <c r="I3" s="2085" t="s">
        <v>2564</v>
      </c>
      <c r="J3" s="2086" t="s">
        <v>2565</v>
      </c>
    </row>
    <row r="4" spans="1:10" s="2003" customFormat="1" ht="13.5" customHeight="1">
      <c r="A4" s="2087"/>
      <c r="B4" s="2088" t="s">
        <v>1517</v>
      </c>
      <c r="C4" s="2088" t="s">
        <v>1517</v>
      </c>
      <c r="D4" s="2088" t="s">
        <v>1517</v>
      </c>
      <c r="E4" s="2088" t="s">
        <v>1517</v>
      </c>
      <c r="F4" s="2088" t="s">
        <v>1517</v>
      </c>
      <c r="G4" s="2088" t="s">
        <v>1517</v>
      </c>
      <c r="H4" s="2088" t="s">
        <v>1517</v>
      </c>
      <c r="I4" s="2088" t="s">
        <v>1517</v>
      </c>
      <c r="J4" s="2089" t="s">
        <v>1517</v>
      </c>
    </row>
    <row r="5" spans="1:10" s="2003" customFormat="1" ht="24.75" customHeight="1">
      <c r="A5" s="2090" t="s">
        <v>1638</v>
      </c>
      <c r="B5" s="2091">
        <v>17672067</v>
      </c>
      <c r="C5" s="2091">
        <v>3120175</v>
      </c>
      <c r="D5" s="2091">
        <v>390862</v>
      </c>
      <c r="E5" s="2091">
        <v>201745</v>
      </c>
      <c r="F5" s="2092">
        <v>565351</v>
      </c>
      <c r="G5" s="2092">
        <v>70942</v>
      </c>
      <c r="H5" s="2091">
        <v>1125439</v>
      </c>
      <c r="I5" s="2091">
        <v>111980</v>
      </c>
      <c r="J5" s="2093">
        <v>5003271</v>
      </c>
    </row>
    <row r="6" spans="1:10" s="2003" customFormat="1" ht="24.75" customHeight="1">
      <c r="A6" s="2090">
        <v>2</v>
      </c>
      <c r="B6" s="2091">
        <v>20518774</v>
      </c>
      <c r="C6" s="2091">
        <v>3034681</v>
      </c>
      <c r="D6" s="2091">
        <v>396808</v>
      </c>
      <c r="E6" s="2091">
        <v>196930</v>
      </c>
      <c r="F6" s="2092">
        <v>567387</v>
      </c>
      <c r="G6" s="2092">
        <v>68578</v>
      </c>
      <c r="H6" s="2091">
        <v>1404229</v>
      </c>
      <c r="I6" s="2091">
        <v>146880</v>
      </c>
      <c r="J6" s="2093">
        <v>5208108</v>
      </c>
    </row>
    <row r="7" spans="1:10" s="2003" customFormat="1" ht="24.75" customHeight="1">
      <c r="A7" s="2090">
        <v>3</v>
      </c>
      <c r="B7" s="2091">
        <v>18981047</v>
      </c>
      <c r="C7" s="2091">
        <v>3045915</v>
      </c>
      <c r="D7" s="2091">
        <v>395908</v>
      </c>
      <c r="E7" s="2091">
        <v>220511</v>
      </c>
      <c r="F7" s="2092">
        <v>561072</v>
      </c>
      <c r="G7" s="2092">
        <v>67389</v>
      </c>
      <c r="H7" s="2091">
        <v>1186896</v>
      </c>
      <c r="I7" s="2091">
        <v>116755</v>
      </c>
      <c r="J7" s="2093">
        <v>5246354</v>
      </c>
    </row>
    <row r="8" spans="1:10" s="2003" customFormat="1" ht="24.75" customHeight="1">
      <c r="A8" s="2090">
        <v>4</v>
      </c>
      <c r="B8" s="2091">
        <v>18516091</v>
      </c>
      <c r="C8" s="2091">
        <v>3136455</v>
      </c>
      <c r="D8" s="2091">
        <v>407619</v>
      </c>
      <c r="E8" s="2091">
        <v>181458</v>
      </c>
      <c r="F8" s="2092">
        <v>562507</v>
      </c>
      <c r="G8" s="2092">
        <v>69980</v>
      </c>
      <c r="H8" s="2091">
        <v>1086473</v>
      </c>
      <c r="I8" s="2091">
        <v>117653</v>
      </c>
      <c r="J8" s="2093">
        <v>5566224</v>
      </c>
    </row>
    <row r="9" spans="1:10" s="2003" customFormat="1" ht="24.75" customHeight="1" thickBot="1">
      <c r="A9" s="2094">
        <v>5</v>
      </c>
      <c r="B9" s="2095">
        <v>18618444</v>
      </c>
      <c r="C9" s="2095">
        <v>3069484</v>
      </c>
      <c r="D9" s="2095">
        <v>422281</v>
      </c>
      <c r="E9" s="2095">
        <v>401373</v>
      </c>
      <c r="F9" s="2096">
        <v>562635</v>
      </c>
      <c r="G9" s="2096">
        <v>73164</v>
      </c>
      <c r="H9" s="2095">
        <v>1058427</v>
      </c>
      <c r="I9" s="2095">
        <v>115579</v>
      </c>
      <c r="J9" s="2097">
        <v>5340413</v>
      </c>
    </row>
    <row r="10" spans="1:10" s="1993" customFormat="1"/>
    <row r="11" spans="1:10" s="1993" customFormat="1" ht="11.4" thickBot="1"/>
    <row r="12" spans="1:10" s="2003" customFormat="1" ht="21" customHeight="1">
      <c r="A12" s="2380" t="s">
        <v>2554</v>
      </c>
      <c r="B12" s="2382" t="s">
        <v>2566</v>
      </c>
      <c r="C12" s="2383"/>
      <c r="D12" s="2383"/>
      <c r="E12" s="2383"/>
      <c r="F12" s="2382" t="s">
        <v>2567</v>
      </c>
      <c r="G12" s="2383"/>
      <c r="H12" s="2383"/>
      <c r="I12" s="2383"/>
      <c r="J12" s="2384"/>
    </row>
    <row r="13" spans="1:10" s="2003" customFormat="1" ht="23.25" customHeight="1">
      <c r="A13" s="2381"/>
      <c r="B13" s="2084" t="s">
        <v>2557</v>
      </c>
      <c r="C13" s="2084" t="s">
        <v>2558</v>
      </c>
      <c r="D13" s="2084" t="s">
        <v>2568</v>
      </c>
      <c r="E13" s="2084" t="s">
        <v>2569</v>
      </c>
      <c r="F13" s="2084" t="s">
        <v>2561</v>
      </c>
      <c r="G13" s="2084" t="s">
        <v>2562</v>
      </c>
      <c r="H13" s="2085" t="s">
        <v>2563</v>
      </c>
      <c r="I13" s="2085" t="s">
        <v>2564</v>
      </c>
      <c r="J13" s="2086" t="s">
        <v>2565</v>
      </c>
    </row>
    <row r="14" spans="1:10" s="1202" customFormat="1">
      <c r="A14" s="2087"/>
      <c r="B14" s="2088" t="s">
        <v>1517</v>
      </c>
      <c r="C14" s="2088" t="s">
        <v>1517</v>
      </c>
      <c r="D14" s="2088" t="s">
        <v>1517</v>
      </c>
      <c r="E14" s="2088" t="s">
        <v>1517</v>
      </c>
      <c r="F14" s="2088" t="s">
        <v>1517</v>
      </c>
      <c r="G14" s="2088" t="s">
        <v>1517</v>
      </c>
      <c r="H14" s="2088" t="s">
        <v>1517</v>
      </c>
      <c r="I14" s="2088" t="s">
        <v>1517</v>
      </c>
      <c r="J14" s="2098" t="s">
        <v>1517</v>
      </c>
    </row>
    <row r="15" spans="1:10" s="2003" customFormat="1" ht="24.75" customHeight="1">
      <c r="A15" s="2099" t="s">
        <v>1638</v>
      </c>
      <c r="B15" s="111">
        <v>17034607</v>
      </c>
      <c r="C15" s="111">
        <v>3095851</v>
      </c>
      <c r="D15" s="111">
        <v>389407</v>
      </c>
      <c r="E15" s="1987">
        <v>189660</v>
      </c>
      <c r="F15" s="349">
        <v>449840</v>
      </c>
      <c r="G15" s="349">
        <v>51493</v>
      </c>
      <c r="H15" s="2100">
        <v>1014358</v>
      </c>
      <c r="I15" s="1987">
        <v>92152</v>
      </c>
      <c r="J15" s="2101">
        <v>4661013</v>
      </c>
    </row>
    <row r="16" spans="1:10" s="2003" customFormat="1" ht="24.75" customHeight="1">
      <c r="A16" s="2099">
        <v>2</v>
      </c>
      <c r="B16" s="111">
        <v>19738458</v>
      </c>
      <c r="C16" s="111">
        <v>3004682</v>
      </c>
      <c r="D16" s="111">
        <v>396004</v>
      </c>
      <c r="E16" s="1987">
        <v>185285</v>
      </c>
      <c r="F16" s="349">
        <v>443589</v>
      </c>
      <c r="G16" s="349">
        <v>56447</v>
      </c>
      <c r="H16" s="2100">
        <v>1068025</v>
      </c>
      <c r="I16" s="1987">
        <v>93578</v>
      </c>
      <c r="J16" s="2101">
        <v>4647908</v>
      </c>
    </row>
    <row r="17" spans="1:10" s="2003" customFormat="1" ht="24.75" customHeight="1">
      <c r="A17" s="2099">
        <v>3</v>
      </c>
      <c r="B17" s="111">
        <v>17986001</v>
      </c>
      <c r="C17" s="111">
        <v>3026760</v>
      </c>
      <c r="D17" s="111">
        <v>394812</v>
      </c>
      <c r="E17" s="1987">
        <v>212973</v>
      </c>
      <c r="F17" s="349">
        <v>405565</v>
      </c>
      <c r="G17" s="349">
        <v>55179</v>
      </c>
      <c r="H17" s="2100">
        <v>958706</v>
      </c>
      <c r="I17" s="1987">
        <v>84229</v>
      </c>
      <c r="J17" s="2101">
        <v>4771823</v>
      </c>
    </row>
    <row r="18" spans="1:10" s="2003" customFormat="1" ht="24.75" customHeight="1">
      <c r="A18" s="2099">
        <v>4</v>
      </c>
      <c r="B18" s="111">
        <v>17704751</v>
      </c>
      <c r="C18" s="111">
        <v>3109914</v>
      </c>
      <c r="D18" s="111">
        <v>406692</v>
      </c>
      <c r="E18" s="1987">
        <v>174420</v>
      </c>
      <c r="F18" s="349">
        <v>439901</v>
      </c>
      <c r="G18" s="349">
        <v>59734</v>
      </c>
      <c r="H18" s="2100">
        <v>956733</v>
      </c>
      <c r="I18" s="1987">
        <v>83678</v>
      </c>
      <c r="J18" s="2101">
        <v>5133227</v>
      </c>
    </row>
    <row r="19" spans="1:10" s="2003" customFormat="1" ht="24.75" customHeight="1" thickBot="1">
      <c r="A19" s="1335">
        <v>5</v>
      </c>
      <c r="B19" s="119">
        <v>18147893</v>
      </c>
      <c r="C19" s="119">
        <v>3032561</v>
      </c>
      <c r="D19" s="119">
        <v>412509</v>
      </c>
      <c r="E19" s="119">
        <v>216932</v>
      </c>
      <c r="F19" s="1269">
        <v>464584</v>
      </c>
      <c r="G19" s="1269">
        <v>66102</v>
      </c>
      <c r="H19" s="2102">
        <v>936330</v>
      </c>
      <c r="I19" s="120">
        <v>85724</v>
      </c>
      <c r="J19" s="2103">
        <v>5238337</v>
      </c>
    </row>
    <row r="21" spans="1:10" s="2003" customFormat="1" ht="24.75" customHeight="1">
      <c r="A21" s="1993" t="s">
        <v>20</v>
      </c>
      <c r="B21" s="1993"/>
      <c r="C21" s="1336"/>
      <c r="D21" s="1993"/>
      <c r="E21" s="1993"/>
      <c r="F21" s="1993"/>
      <c r="G21" s="1993"/>
      <c r="H21" s="1993"/>
      <c r="I21" s="1993"/>
      <c r="J21" s="1993"/>
    </row>
  </sheetData>
  <mergeCells count="6">
    <mergeCell ref="A2:A3"/>
    <mergeCell ref="B2:E2"/>
    <mergeCell ref="F2:J2"/>
    <mergeCell ref="A12:A13"/>
    <mergeCell ref="B12:E12"/>
    <mergeCell ref="F12:J12"/>
  </mergeCells>
  <phoneticPr fontId="5"/>
  <pageMargins left="0.7" right="0.7" top="0.75" bottom="0.75" header="0.3" footer="0.3"/>
  <pageSetup paperSize="9" scale="9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CC94-F64D-4331-BAE1-172BCA7A785D}">
  <sheetPr codeName="Sheet37"/>
  <dimension ref="A1:AJ15"/>
  <sheetViews>
    <sheetView zoomScale="120" zoomScaleNormal="120" workbookViewId="0">
      <pane xSplit="3" ySplit="1" topLeftCell="AE2" activePane="bottomRight" state="frozen"/>
      <selection pane="topRight" activeCell="D1" sqref="D1"/>
      <selection pane="bottomLeft" activeCell="A2" sqref="A2"/>
      <selection pane="bottomRight" activeCell="AN8" sqref="AN8"/>
    </sheetView>
  </sheetViews>
  <sheetFormatPr defaultColWidth="9" defaultRowHeight="13.2"/>
  <cols>
    <col min="1" max="1" width="2.8984375" style="2" customWidth="1"/>
    <col min="2" max="2" width="2.5" style="2" customWidth="1"/>
    <col min="3" max="3" width="17" style="2" customWidth="1"/>
    <col min="4" max="36" width="8" style="2" customWidth="1"/>
    <col min="37" max="16384" width="9" style="2"/>
  </cols>
  <sheetData>
    <row r="1" spans="1:36" ht="30" customHeight="1" thickBot="1">
      <c r="A1" s="259" t="s">
        <v>787</v>
      </c>
      <c r="Y1" s="569"/>
      <c r="Z1" s="569"/>
      <c r="AA1" s="569"/>
    </row>
    <row r="2" spans="1:36" s="11" customFormat="1" ht="21" customHeight="1">
      <c r="A2" s="2187" t="s">
        <v>788</v>
      </c>
      <c r="B2" s="2187"/>
      <c r="C2" s="2180"/>
      <c r="D2" s="2183" t="s">
        <v>789</v>
      </c>
      <c r="E2" s="2184"/>
      <c r="F2" s="2184"/>
      <c r="G2" s="2183" t="s">
        <v>790</v>
      </c>
      <c r="H2" s="2184"/>
      <c r="I2" s="2184"/>
      <c r="J2" s="2183" t="s">
        <v>791</v>
      </c>
      <c r="K2" s="2184"/>
      <c r="L2" s="2184"/>
      <c r="M2" s="2183" t="s">
        <v>792</v>
      </c>
      <c r="N2" s="2184"/>
      <c r="O2" s="2184"/>
      <c r="P2" s="2183" t="s">
        <v>793</v>
      </c>
      <c r="Q2" s="2184"/>
      <c r="R2" s="2185"/>
      <c r="S2" s="2183" t="s">
        <v>794</v>
      </c>
      <c r="T2" s="2184"/>
      <c r="U2" s="2184"/>
      <c r="V2" s="2385" t="s">
        <v>795</v>
      </c>
      <c r="W2" s="2386"/>
      <c r="X2" s="2386"/>
      <c r="Y2" s="2385" t="s">
        <v>796</v>
      </c>
      <c r="Z2" s="2386"/>
      <c r="AA2" s="2386"/>
      <c r="AB2" s="2385" t="s">
        <v>797</v>
      </c>
      <c r="AC2" s="2386"/>
      <c r="AD2" s="2386"/>
      <c r="AE2" s="2385" t="s">
        <v>798</v>
      </c>
      <c r="AF2" s="2386"/>
      <c r="AG2" s="2386"/>
      <c r="AH2" s="2385" t="s">
        <v>799</v>
      </c>
      <c r="AI2" s="2386"/>
      <c r="AJ2" s="2386"/>
    </row>
    <row r="3" spans="1:36" s="11" customFormat="1" ht="21" customHeight="1">
      <c r="A3" s="2196"/>
      <c r="B3" s="2196"/>
      <c r="C3" s="2182"/>
      <c r="D3" s="130" t="s">
        <v>800</v>
      </c>
      <c r="E3" s="159" t="s">
        <v>801</v>
      </c>
      <c r="F3" s="159" t="s">
        <v>802</v>
      </c>
      <c r="G3" s="130" t="s">
        <v>800</v>
      </c>
      <c r="H3" s="159" t="s">
        <v>801</v>
      </c>
      <c r="I3" s="159" t="s">
        <v>802</v>
      </c>
      <c r="J3" s="130" t="s">
        <v>800</v>
      </c>
      <c r="K3" s="159" t="s">
        <v>801</v>
      </c>
      <c r="L3" s="159" t="s">
        <v>802</v>
      </c>
      <c r="M3" s="130" t="s">
        <v>800</v>
      </c>
      <c r="N3" s="159" t="s">
        <v>801</v>
      </c>
      <c r="O3" s="159" t="s">
        <v>802</v>
      </c>
      <c r="P3" s="159" t="s">
        <v>800</v>
      </c>
      <c r="Q3" s="159" t="s">
        <v>801</v>
      </c>
      <c r="R3" s="159" t="s">
        <v>802</v>
      </c>
      <c r="S3" s="130" t="s">
        <v>800</v>
      </c>
      <c r="T3" s="159" t="s">
        <v>801</v>
      </c>
      <c r="U3" s="159" t="s">
        <v>802</v>
      </c>
      <c r="V3" s="130" t="s">
        <v>800</v>
      </c>
      <c r="W3" s="159" t="s">
        <v>801</v>
      </c>
      <c r="X3" s="159" t="s">
        <v>802</v>
      </c>
      <c r="Y3" s="130" t="s">
        <v>800</v>
      </c>
      <c r="Z3" s="159" t="s">
        <v>801</v>
      </c>
      <c r="AA3" s="159" t="s">
        <v>802</v>
      </c>
      <c r="AB3" s="130" t="s">
        <v>800</v>
      </c>
      <c r="AC3" s="159" t="s">
        <v>801</v>
      </c>
      <c r="AD3" s="159" t="s">
        <v>802</v>
      </c>
      <c r="AE3" s="130" t="s">
        <v>800</v>
      </c>
      <c r="AF3" s="159" t="s">
        <v>801</v>
      </c>
      <c r="AG3" s="159" t="s">
        <v>802</v>
      </c>
      <c r="AH3" s="130" t="s">
        <v>800</v>
      </c>
      <c r="AI3" s="159" t="s">
        <v>801</v>
      </c>
      <c r="AJ3" s="159" t="s">
        <v>802</v>
      </c>
    </row>
    <row r="4" spans="1:36" s="11" customFormat="1" ht="21" customHeight="1">
      <c r="A4" s="85"/>
      <c r="B4" s="85"/>
      <c r="C4" s="218"/>
      <c r="D4" s="86" t="s">
        <v>803</v>
      </c>
      <c r="E4" s="36" t="s">
        <v>803</v>
      </c>
      <c r="F4" s="33" t="s">
        <v>281</v>
      </c>
      <c r="G4" s="86" t="s">
        <v>803</v>
      </c>
      <c r="H4" s="36" t="s">
        <v>803</v>
      </c>
      <c r="I4" s="33" t="s">
        <v>281</v>
      </c>
      <c r="J4" s="86" t="s">
        <v>803</v>
      </c>
      <c r="K4" s="36" t="s">
        <v>803</v>
      </c>
      <c r="L4" s="33" t="s">
        <v>281</v>
      </c>
      <c r="M4" s="86" t="s">
        <v>803</v>
      </c>
      <c r="N4" s="36" t="s">
        <v>803</v>
      </c>
      <c r="O4" s="33" t="s">
        <v>281</v>
      </c>
      <c r="P4" s="33" t="s">
        <v>803</v>
      </c>
      <c r="Q4" s="33" t="s">
        <v>803</v>
      </c>
      <c r="R4" s="33" t="s">
        <v>281</v>
      </c>
      <c r="S4" s="86" t="s">
        <v>803</v>
      </c>
      <c r="T4" s="36" t="s">
        <v>803</v>
      </c>
      <c r="U4" s="33" t="s">
        <v>281</v>
      </c>
      <c r="V4" s="98" t="s">
        <v>803</v>
      </c>
      <c r="W4" s="33" t="s">
        <v>803</v>
      </c>
      <c r="X4" s="33" t="s">
        <v>281</v>
      </c>
      <c r="Y4" s="98" t="s">
        <v>803</v>
      </c>
      <c r="Z4" s="33" t="s">
        <v>803</v>
      </c>
      <c r="AA4" s="33" t="s">
        <v>281</v>
      </c>
      <c r="AB4" s="98" t="s">
        <v>803</v>
      </c>
      <c r="AC4" s="33" t="s">
        <v>803</v>
      </c>
      <c r="AD4" s="33" t="s">
        <v>281</v>
      </c>
      <c r="AE4" s="98" t="s">
        <v>803</v>
      </c>
      <c r="AF4" s="33" t="s">
        <v>803</v>
      </c>
      <c r="AG4" s="33" t="s">
        <v>281</v>
      </c>
      <c r="AH4" s="98" t="s">
        <v>803</v>
      </c>
      <c r="AI4" s="33" t="s">
        <v>803</v>
      </c>
      <c r="AJ4" s="33" t="s">
        <v>281</v>
      </c>
    </row>
    <row r="5" spans="1:36" s="11" customFormat="1" ht="21" customHeight="1">
      <c r="A5" s="2278" t="s">
        <v>804</v>
      </c>
      <c r="B5" s="2278"/>
      <c r="C5" s="2278"/>
      <c r="D5" s="333">
        <f>D6+D12</f>
        <v>4563664</v>
      </c>
      <c r="E5" s="570">
        <f>E6+E12</f>
        <v>4098833</v>
      </c>
      <c r="F5" s="571">
        <f t="shared" ref="F5:F14" si="0">E5/D5*100</f>
        <v>89.814521840345833</v>
      </c>
      <c r="G5" s="333">
        <f>G6+G12</f>
        <v>4600939</v>
      </c>
      <c r="H5" s="570">
        <f>H6+H12</f>
        <v>4162505</v>
      </c>
      <c r="I5" s="571">
        <f t="shared" ref="I5:I14" si="1">H5/G5*100</f>
        <v>90.470771292555725</v>
      </c>
      <c r="J5" s="333">
        <f>J6+J12</f>
        <v>4504420</v>
      </c>
      <c r="K5" s="570">
        <f>K6+K12</f>
        <v>4130832</v>
      </c>
      <c r="L5" s="571">
        <f t="shared" ref="L5:L14" si="2">K5/J5*100</f>
        <v>91.706190808139567</v>
      </c>
      <c r="M5" s="333">
        <f>M6+M12</f>
        <v>4481281</v>
      </c>
      <c r="N5" s="570">
        <f>N6+N12</f>
        <v>4173507</v>
      </c>
      <c r="O5" s="571">
        <f t="shared" ref="O5:O10" si="3">N5/M5*100</f>
        <v>93.132008459188341</v>
      </c>
      <c r="P5" s="333">
        <v>4532788</v>
      </c>
      <c r="Q5" s="570">
        <v>4280940</v>
      </c>
      <c r="R5" s="571">
        <f t="shared" ref="R5:R10" si="4">Q5/P5*100</f>
        <v>94.443861040931097</v>
      </c>
      <c r="S5" s="333">
        <v>4436917</v>
      </c>
      <c r="T5" s="570">
        <v>4269692</v>
      </c>
      <c r="U5" s="571">
        <f t="shared" ref="U5:U10" si="5">T5/S5*100</f>
        <v>96.231054130604647</v>
      </c>
      <c r="V5" s="572">
        <v>4414829</v>
      </c>
      <c r="W5" s="573">
        <v>4295610</v>
      </c>
      <c r="X5" s="574">
        <v>97.3</v>
      </c>
      <c r="Y5" s="572">
        <v>4228062</v>
      </c>
      <c r="Z5" s="573">
        <v>4093910</v>
      </c>
      <c r="AA5" s="574">
        <v>96.8</v>
      </c>
      <c r="AB5" s="572">
        <f>AB6+AB12</f>
        <v>4214596</v>
      </c>
      <c r="AC5" s="573">
        <f>AC6+AC12</f>
        <v>4118584</v>
      </c>
      <c r="AD5" s="571">
        <f t="shared" ref="AD5:AD10" si="6">AC5/AB5*100</f>
        <v>97.721916881238428</v>
      </c>
      <c r="AE5" s="572">
        <f>AE6+AE12</f>
        <v>4368159</v>
      </c>
      <c r="AF5" s="573">
        <f>AF6+AF12</f>
        <v>4277888</v>
      </c>
      <c r="AG5" s="571">
        <f t="shared" ref="AG5:AG10" si="7">AF5/AE5*100</f>
        <v>97.933431452472306</v>
      </c>
      <c r="AH5" s="1203">
        <f>AH6+AH12</f>
        <v>4479860</v>
      </c>
      <c r="AI5" s="1204">
        <f>AI6+AI12</f>
        <v>4407018</v>
      </c>
      <c r="AJ5" s="1205">
        <f t="shared" ref="AJ5:AJ6" si="8">IFERROR(AI5/AH5*100,"")</f>
        <v>98.374011687865249</v>
      </c>
    </row>
    <row r="6" spans="1:36" s="11" customFormat="1" ht="21" customHeight="1">
      <c r="A6" s="390"/>
      <c r="B6" s="279" t="s">
        <v>805</v>
      </c>
      <c r="C6" s="390" t="s">
        <v>806</v>
      </c>
      <c r="D6" s="333">
        <f>SUM(D7:D11)</f>
        <v>4402839</v>
      </c>
      <c r="E6" s="570">
        <f>SUM(E7:E11)</f>
        <v>3953965</v>
      </c>
      <c r="F6" s="571">
        <f t="shared" si="0"/>
        <v>89.804896340747405</v>
      </c>
      <c r="G6" s="333">
        <f>SUM(G7:G11)</f>
        <v>4442544</v>
      </c>
      <c r="H6" s="570">
        <f>SUM(H7:H11)</f>
        <v>4019455</v>
      </c>
      <c r="I6" s="571">
        <f t="shared" si="1"/>
        <v>90.476425219423831</v>
      </c>
      <c r="J6" s="333">
        <f>SUM(J7:J11)</f>
        <v>4349347</v>
      </c>
      <c r="K6" s="570">
        <f>SUM(K7:K11)</f>
        <v>3987873</v>
      </c>
      <c r="L6" s="571">
        <f t="shared" si="2"/>
        <v>91.689005269066826</v>
      </c>
      <c r="M6" s="333">
        <f>SUM(M7:M11)</f>
        <v>4329575</v>
      </c>
      <c r="N6" s="570">
        <f>SUM(N7:N11)</f>
        <v>4031920</v>
      </c>
      <c r="O6" s="571">
        <f t="shared" si="3"/>
        <v>93.125075786884395</v>
      </c>
      <c r="P6" s="333">
        <v>4381370</v>
      </c>
      <c r="Q6" s="333">
        <v>4138270</v>
      </c>
      <c r="R6" s="571">
        <f t="shared" si="4"/>
        <v>94.451507176978893</v>
      </c>
      <c r="S6" s="333">
        <v>4290886</v>
      </c>
      <c r="T6" s="570">
        <v>4129257</v>
      </c>
      <c r="U6" s="571">
        <f t="shared" si="5"/>
        <v>96.233202187147356</v>
      </c>
      <c r="V6" s="572">
        <v>4274360</v>
      </c>
      <c r="W6" s="573">
        <v>4158389</v>
      </c>
      <c r="X6" s="574">
        <v>97.3</v>
      </c>
      <c r="Y6" s="572">
        <v>4111341</v>
      </c>
      <c r="Z6" s="573">
        <v>3981078</v>
      </c>
      <c r="AA6" s="574">
        <v>96.8</v>
      </c>
      <c r="AB6" s="572">
        <f>SUM(AB7:AB11)</f>
        <v>4099248</v>
      </c>
      <c r="AC6" s="573">
        <f>SUM(AC7:AC11)</f>
        <v>4005843</v>
      </c>
      <c r="AD6" s="571">
        <f t="shared" si="6"/>
        <v>97.721411341787572</v>
      </c>
      <c r="AE6" s="572">
        <f>SUM(AE7:AE11)</f>
        <v>4238122</v>
      </c>
      <c r="AF6" s="573">
        <f>SUM(AF7:AF11)</f>
        <v>4150442</v>
      </c>
      <c r="AG6" s="571">
        <f t="shared" si="7"/>
        <v>97.931159131332223</v>
      </c>
      <c r="AH6" s="1203">
        <f>SUM(AH7:AH11)</f>
        <v>4343739</v>
      </c>
      <c r="AI6" s="1204">
        <f>SUM(AI7:AI11)</f>
        <v>4272851</v>
      </c>
      <c r="AJ6" s="1205">
        <f t="shared" si="8"/>
        <v>98.368041910437071</v>
      </c>
    </row>
    <row r="7" spans="1:36" s="11" customFormat="1" ht="21" customHeight="1">
      <c r="A7" s="390"/>
      <c r="B7" s="390"/>
      <c r="C7" s="390" t="s">
        <v>807</v>
      </c>
      <c r="D7" s="333">
        <v>1478792</v>
      </c>
      <c r="E7" s="570">
        <v>1380017</v>
      </c>
      <c r="F7" s="571">
        <f t="shared" si="0"/>
        <v>93.320561647615079</v>
      </c>
      <c r="G7" s="333">
        <v>1543085</v>
      </c>
      <c r="H7" s="570">
        <v>1450067</v>
      </c>
      <c r="I7" s="571">
        <f t="shared" si="1"/>
        <v>93.97194580985493</v>
      </c>
      <c r="J7" s="333">
        <v>1505046</v>
      </c>
      <c r="K7" s="570">
        <v>1427786</v>
      </c>
      <c r="L7" s="571">
        <f t="shared" si="2"/>
        <v>94.866602083923013</v>
      </c>
      <c r="M7" s="333">
        <v>1519478</v>
      </c>
      <c r="N7" s="570">
        <v>1456644</v>
      </c>
      <c r="O7" s="571">
        <f t="shared" si="3"/>
        <v>95.864764083454972</v>
      </c>
      <c r="P7" s="413">
        <v>1548073</v>
      </c>
      <c r="Q7" s="413">
        <v>1497326</v>
      </c>
      <c r="R7" s="571">
        <f t="shared" si="4"/>
        <v>96.721924612082248</v>
      </c>
      <c r="S7" s="333">
        <v>1581718</v>
      </c>
      <c r="T7" s="570">
        <v>1543635</v>
      </c>
      <c r="U7" s="571">
        <f t="shared" si="5"/>
        <v>97.592301535419082</v>
      </c>
      <c r="V7" s="572">
        <v>1581172</v>
      </c>
      <c r="W7" s="573">
        <v>1549005</v>
      </c>
      <c r="X7" s="574">
        <v>98</v>
      </c>
      <c r="Y7" s="572">
        <v>1466721</v>
      </c>
      <c r="Z7" s="573">
        <v>1431685</v>
      </c>
      <c r="AA7" s="574">
        <v>97.6</v>
      </c>
      <c r="AB7" s="572">
        <v>1506945</v>
      </c>
      <c r="AC7" s="573">
        <v>1478709</v>
      </c>
      <c r="AD7" s="571">
        <f t="shared" si="6"/>
        <v>98.126275345151953</v>
      </c>
      <c r="AE7" s="572">
        <v>1434845</v>
      </c>
      <c r="AF7" s="573">
        <v>1414177</v>
      </c>
      <c r="AG7" s="571">
        <f t="shared" si="7"/>
        <v>98.559565667371743</v>
      </c>
      <c r="AH7" s="1203">
        <v>1466406</v>
      </c>
      <c r="AI7" s="1204">
        <v>1447151</v>
      </c>
      <c r="AJ7" s="1205">
        <v>98.68692572179873</v>
      </c>
    </row>
    <row r="8" spans="1:36" s="11" customFormat="1" ht="21" customHeight="1">
      <c r="A8" s="390"/>
      <c r="B8" s="390"/>
      <c r="C8" s="390" t="s">
        <v>808</v>
      </c>
      <c r="D8" s="333">
        <v>2627048</v>
      </c>
      <c r="E8" s="570">
        <v>2289288</v>
      </c>
      <c r="F8" s="571">
        <f t="shared" si="0"/>
        <v>87.142983302931654</v>
      </c>
      <c r="G8" s="333">
        <v>2623036</v>
      </c>
      <c r="H8" s="570">
        <v>2298543</v>
      </c>
      <c r="I8" s="571">
        <f t="shared" si="1"/>
        <v>87.629106119778768</v>
      </c>
      <c r="J8" s="333">
        <v>2571045</v>
      </c>
      <c r="K8" s="570">
        <v>2291102</v>
      </c>
      <c r="L8" s="571">
        <f t="shared" si="2"/>
        <v>89.111703606899141</v>
      </c>
      <c r="M8" s="333">
        <v>2526241</v>
      </c>
      <c r="N8" s="570">
        <v>2294762</v>
      </c>
      <c r="O8" s="571">
        <f t="shared" si="3"/>
        <v>90.837018320896547</v>
      </c>
      <c r="P8" s="413">
        <v>2557572</v>
      </c>
      <c r="Q8" s="413">
        <v>2368074</v>
      </c>
      <c r="R8" s="571">
        <f t="shared" si="4"/>
        <v>92.590707123787723</v>
      </c>
      <c r="S8" s="333">
        <v>2435898</v>
      </c>
      <c r="T8" s="570">
        <v>2314709</v>
      </c>
      <c r="U8" s="571">
        <f t="shared" si="5"/>
        <v>95.024873783713431</v>
      </c>
      <c r="V8" s="572">
        <v>2416113</v>
      </c>
      <c r="W8" s="573">
        <v>2334490</v>
      </c>
      <c r="X8" s="574">
        <v>96.6</v>
      </c>
      <c r="Y8" s="572">
        <v>2367446</v>
      </c>
      <c r="Z8" s="573">
        <v>2274402</v>
      </c>
      <c r="AA8" s="574">
        <v>96.1</v>
      </c>
      <c r="AB8" s="572">
        <v>2304627</v>
      </c>
      <c r="AC8" s="573">
        <v>2241615</v>
      </c>
      <c r="AD8" s="571">
        <f t="shared" si="6"/>
        <v>97.265848226198855</v>
      </c>
      <c r="AE8" s="572">
        <v>2503993</v>
      </c>
      <c r="AF8" s="573">
        <v>2439200</v>
      </c>
      <c r="AG8" s="571">
        <f t="shared" si="7"/>
        <v>97.412412894125495</v>
      </c>
      <c r="AH8" s="1203">
        <v>2574171</v>
      </c>
      <c r="AI8" s="1204">
        <v>2524173</v>
      </c>
      <c r="AJ8" s="1205">
        <v>98.057704791173549</v>
      </c>
    </row>
    <row r="9" spans="1:36" s="11" customFormat="1" ht="21" customHeight="1">
      <c r="A9" s="390"/>
      <c r="B9" s="390"/>
      <c r="C9" s="390" t="s">
        <v>809</v>
      </c>
      <c r="D9" s="333">
        <v>86120</v>
      </c>
      <c r="E9" s="570">
        <v>78375</v>
      </c>
      <c r="F9" s="571">
        <f t="shared" si="0"/>
        <v>91.006734788666975</v>
      </c>
      <c r="G9" s="333">
        <v>87232</v>
      </c>
      <c r="H9" s="570">
        <v>81654</v>
      </c>
      <c r="I9" s="571">
        <f t="shared" si="1"/>
        <v>93.605557593543651</v>
      </c>
      <c r="J9" s="333">
        <v>85389</v>
      </c>
      <c r="K9" s="570">
        <v>81118</v>
      </c>
      <c r="L9" s="571">
        <f t="shared" si="2"/>
        <v>94.9981847778988</v>
      </c>
      <c r="M9" s="333">
        <v>100752</v>
      </c>
      <c r="N9" s="570">
        <v>97410</v>
      </c>
      <c r="O9" s="571">
        <f t="shared" si="3"/>
        <v>96.682944259171038</v>
      </c>
      <c r="P9" s="413">
        <v>103689</v>
      </c>
      <c r="Q9" s="413">
        <v>100834</v>
      </c>
      <c r="R9" s="571">
        <f t="shared" si="4"/>
        <v>97.24657388922644</v>
      </c>
      <c r="S9" s="333">
        <v>105665</v>
      </c>
      <c r="T9" s="570">
        <v>103308</v>
      </c>
      <c r="U9" s="571">
        <f t="shared" si="5"/>
        <v>97.769365447404539</v>
      </c>
      <c r="V9" s="572">
        <v>108114</v>
      </c>
      <c r="W9" s="573">
        <v>105933</v>
      </c>
      <c r="X9" s="574">
        <v>98</v>
      </c>
      <c r="Y9" s="572">
        <v>114153</v>
      </c>
      <c r="Z9" s="573">
        <v>111970</v>
      </c>
      <c r="AA9" s="574">
        <v>98.1</v>
      </c>
      <c r="AB9" s="572">
        <v>116462</v>
      </c>
      <c r="AC9" s="573">
        <v>114305</v>
      </c>
      <c r="AD9" s="571">
        <f t="shared" si="6"/>
        <v>98.147893733578343</v>
      </c>
      <c r="AE9" s="572">
        <v>122169</v>
      </c>
      <c r="AF9" s="573">
        <v>119950</v>
      </c>
      <c r="AG9" s="571">
        <f t="shared" si="7"/>
        <v>98.183663613518974</v>
      </c>
      <c r="AH9" s="1203">
        <v>124033</v>
      </c>
      <c r="AI9" s="1204">
        <v>122398</v>
      </c>
      <c r="AJ9" s="1205">
        <v>98.681802423548575</v>
      </c>
    </row>
    <row r="10" spans="1:36" s="11" customFormat="1" ht="21" customHeight="1">
      <c r="A10" s="390"/>
      <c r="B10" s="390"/>
      <c r="C10" s="390" t="s">
        <v>810</v>
      </c>
      <c r="D10" s="333">
        <v>204285</v>
      </c>
      <c r="E10" s="570">
        <v>204285</v>
      </c>
      <c r="F10" s="571">
        <f t="shared" si="0"/>
        <v>100</v>
      </c>
      <c r="G10" s="333">
        <v>189101</v>
      </c>
      <c r="H10" s="570">
        <v>189101</v>
      </c>
      <c r="I10" s="571">
        <f t="shared" si="1"/>
        <v>100</v>
      </c>
      <c r="J10" s="333">
        <v>187867</v>
      </c>
      <c r="K10" s="570">
        <v>187867</v>
      </c>
      <c r="L10" s="571">
        <f t="shared" si="2"/>
        <v>100</v>
      </c>
      <c r="M10" s="333">
        <v>183104</v>
      </c>
      <c r="N10" s="570">
        <v>183104</v>
      </c>
      <c r="O10" s="571">
        <f t="shared" si="3"/>
        <v>100</v>
      </c>
      <c r="P10" s="413">
        <v>172036</v>
      </c>
      <c r="Q10" s="413">
        <v>172036</v>
      </c>
      <c r="R10" s="571">
        <f t="shared" si="4"/>
        <v>100</v>
      </c>
      <c r="S10" s="333">
        <v>167605</v>
      </c>
      <c r="T10" s="570">
        <v>167605</v>
      </c>
      <c r="U10" s="571">
        <f t="shared" si="5"/>
        <v>100</v>
      </c>
      <c r="V10" s="572">
        <v>168961</v>
      </c>
      <c r="W10" s="573">
        <v>168961</v>
      </c>
      <c r="X10" s="574">
        <v>100</v>
      </c>
      <c r="Y10" s="572">
        <v>163021</v>
      </c>
      <c r="Z10" s="573">
        <v>163021</v>
      </c>
      <c r="AA10" s="574">
        <v>100</v>
      </c>
      <c r="AB10" s="572">
        <v>171214</v>
      </c>
      <c r="AC10" s="573">
        <v>171214</v>
      </c>
      <c r="AD10" s="571">
        <f t="shared" si="6"/>
        <v>100</v>
      </c>
      <c r="AE10" s="572">
        <v>177115</v>
      </c>
      <c r="AF10" s="573">
        <v>177115</v>
      </c>
      <c r="AG10" s="571">
        <f t="shared" si="7"/>
        <v>100</v>
      </c>
      <c r="AH10" s="1203">
        <v>179129</v>
      </c>
      <c r="AI10" s="1204">
        <v>179129</v>
      </c>
      <c r="AJ10" s="1205">
        <v>100</v>
      </c>
    </row>
    <row r="11" spans="1:36" s="11" customFormat="1" ht="21" customHeight="1">
      <c r="A11" s="390"/>
      <c r="B11" s="390"/>
      <c r="C11" s="390" t="s">
        <v>811</v>
      </c>
      <c r="D11" s="333">
        <v>6594</v>
      </c>
      <c r="E11" s="570">
        <v>2000</v>
      </c>
      <c r="F11" s="571">
        <f t="shared" si="0"/>
        <v>30.330603579011221</v>
      </c>
      <c r="G11" s="333">
        <v>90</v>
      </c>
      <c r="H11" s="570">
        <v>90</v>
      </c>
      <c r="I11" s="571">
        <f t="shared" si="1"/>
        <v>100</v>
      </c>
      <c r="J11" s="333">
        <v>0</v>
      </c>
      <c r="K11" s="570">
        <v>0</v>
      </c>
      <c r="L11" s="575" t="s">
        <v>685</v>
      </c>
      <c r="M11" s="333">
        <v>0</v>
      </c>
      <c r="N11" s="570">
        <v>0</v>
      </c>
      <c r="O11" s="575" t="s">
        <v>685</v>
      </c>
      <c r="P11" s="333">
        <v>0</v>
      </c>
      <c r="Q11" s="413">
        <v>0</v>
      </c>
      <c r="R11" s="575" t="s">
        <v>812</v>
      </c>
      <c r="S11" s="333">
        <v>0</v>
      </c>
      <c r="T11" s="570">
        <v>0</v>
      </c>
      <c r="U11" s="575" t="s">
        <v>812</v>
      </c>
      <c r="V11" s="256" t="s">
        <v>812</v>
      </c>
      <c r="W11" s="240" t="s">
        <v>812</v>
      </c>
      <c r="X11" s="240" t="s">
        <v>812</v>
      </c>
      <c r="Y11" s="256" t="s">
        <v>812</v>
      </c>
      <c r="Z11" s="240" t="s">
        <v>812</v>
      </c>
      <c r="AA11" s="240" t="s">
        <v>812</v>
      </c>
      <c r="AB11" s="256" t="s">
        <v>812</v>
      </c>
      <c r="AC11" s="240" t="s">
        <v>812</v>
      </c>
      <c r="AD11" s="240" t="s">
        <v>812</v>
      </c>
      <c r="AE11" s="256" t="s">
        <v>812</v>
      </c>
      <c r="AF11" s="240" t="s">
        <v>812</v>
      </c>
      <c r="AG11" s="240" t="s">
        <v>812</v>
      </c>
      <c r="AH11" s="1206" t="s">
        <v>812</v>
      </c>
      <c r="AI11" s="1207" t="s">
        <v>812</v>
      </c>
      <c r="AJ11" s="1208" t="s">
        <v>812</v>
      </c>
    </row>
    <row r="12" spans="1:36" s="11" customFormat="1" ht="21" customHeight="1">
      <c r="A12" s="390"/>
      <c r="B12" s="279" t="s">
        <v>813</v>
      </c>
      <c r="C12" s="390" t="s">
        <v>814</v>
      </c>
      <c r="D12" s="333">
        <f>D13+D14</f>
        <v>160825</v>
      </c>
      <c r="E12" s="570">
        <f>E13+E14</f>
        <v>144868</v>
      </c>
      <c r="F12" s="571">
        <f t="shared" si="0"/>
        <v>90.078035131353957</v>
      </c>
      <c r="G12" s="333">
        <f>G13+G14</f>
        <v>158395</v>
      </c>
      <c r="H12" s="570">
        <f>H13+H14</f>
        <v>143050</v>
      </c>
      <c r="I12" s="571">
        <f t="shared" si="1"/>
        <v>90.312194198049184</v>
      </c>
      <c r="J12" s="333">
        <f>J13+J14</f>
        <v>155073</v>
      </c>
      <c r="K12" s="570">
        <f>K13+K14</f>
        <v>142959</v>
      </c>
      <c r="L12" s="571">
        <f t="shared" si="2"/>
        <v>92.188195237081899</v>
      </c>
      <c r="M12" s="333">
        <f>M13+M14</f>
        <v>151706</v>
      </c>
      <c r="N12" s="570">
        <f>N13+N14</f>
        <v>141587</v>
      </c>
      <c r="O12" s="571">
        <f>N12/M12*100</f>
        <v>93.329861706194876</v>
      </c>
      <c r="P12" s="333">
        <v>151418</v>
      </c>
      <c r="Q12" s="570">
        <v>142670</v>
      </c>
      <c r="R12" s="571">
        <f>Q12/P12*100</f>
        <v>94.222615541084949</v>
      </c>
      <c r="S12" s="333">
        <v>146031</v>
      </c>
      <c r="T12" s="570">
        <v>140435</v>
      </c>
      <c r="U12" s="571">
        <f>T12/S12*100</f>
        <v>96.16793694489526</v>
      </c>
      <c r="V12" s="572">
        <v>140469</v>
      </c>
      <c r="W12" s="573">
        <v>137221</v>
      </c>
      <c r="X12" s="574">
        <v>97.7</v>
      </c>
      <c r="Y12" s="572">
        <v>116721</v>
      </c>
      <c r="Z12" s="573">
        <v>112832</v>
      </c>
      <c r="AA12" s="574">
        <v>96.7</v>
      </c>
      <c r="AB12" s="572">
        <f>AB13+AB14</f>
        <v>115348</v>
      </c>
      <c r="AC12" s="573">
        <f>AC13+AC14</f>
        <v>112741</v>
      </c>
      <c r="AD12" s="571">
        <f>AC12/AB12*100</f>
        <v>97.739882789471849</v>
      </c>
      <c r="AE12" s="572">
        <f>AE13+AE14</f>
        <v>130037</v>
      </c>
      <c r="AF12" s="573">
        <f>AF13+AF14</f>
        <v>127446</v>
      </c>
      <c r="AG12" s="571">
        <f>AF12/AE12*100</f>
        <v>98.007490175873031</v>
      </c>
      <c r="AH12" s="1203">
        <f>AH13+AH14</f>
        <v>136121</v>
      </c>
      <c r="AI12" s="1204">
        <f>AI13+AI14</f>
        <v>134167</v>
      </c>
      <c r="AJ12" s="1205">
        <f>IFERROR(AI12/AH12*100,"")</f>
        <v>98.564512455829743</v>
      </c>
    </row>
    <row r="13" spans="1:36" s="11" customFormat="1" ht="21" customHeight="1">
      <c r="A13" s="390"/>
      <c r="B13" s="390"/>
      <c r="C13" s="390" t="s">
        <v>815</v>
      </c>
      <c r="D13" s="333">
        <v>52344</v>
      </c>
      <c r="E13" s="570">
        <v>50642</v>
      </c>
      <c r="F13" s="571">
        <f t="shared" si="0"/>
        <v>96.748433440317896</v>
      </c>
      <c r="G13" s="333">
        <v>49655</v>
      </c>
      <c r="H13" s="570">
        <v>47954</v>
      </c>
      <c r="I13" s="571">
        <f t="shared" si="1"/>
        <v>96.574363105427452</v>
      </c>
      <c r="J13" s="333">
        <v>50113</v>
      </c>
      <c r="K13" s="570">
        <v>49535</v>
      </c>
      <c r="L13" s="571">
        <f t="shared" si="2"/>
        <v>98.846606668928231</v>
      </c>
      <c r="M13" s="333">
        <v>47689</v>
      </c>
      <c r="N13" s="570">
        <v>47111</v>
      </c>
      <c r="O13" s="571">
        <f>N13/M13*100</f>
        <v>98.787980456709093</v>
      </c>
      <c r="P13" s="413">
        <v>46384</v>
      </c>
      <c r="Q13" s="413">
        <v>45358</v>
      </c>
      <c r="R13" s="571">
        <f>Q13/P13*100</f>
        <v>97.788030355294936</v>
      </c>
      <c r="S13" s="333">
        <v>47346</v>
      </c>
      <c r="T13" s="570">
        <v>46763</v>
      </c>
      <c r="U13" s="571">
        <f>T13/S13*100</f>
        <v>98.768639378194564</v>
      </c>
      <c r="V13" s="572">
        <v>43506</v>
      </c>
      <c r="W13" s="573">
        <v>43506</v>
      </c>
      <c r="X13" s="574">
        <v>100</v>
      </c>
      <c r="Y13" s="572">
        <v>20034</v>
      </c>
      <c r="Z13" s="573">
        <v>19938</v>
      </c>
      <c r="AA13" s="574">
        <v>99.5</v>
      </c>
      <c r="AB13" s="572">
        <v>21778</v>
      </c>
      <c r="AC13" s="573">
        <v>21769</v>
      </c>
      <c r="AD13" s="571">
        <f>AC13/AB13*100</f>
        <v>99.958673891082739</v>
      </c>
      <c r="AE13" s="572">
        <v>33825</v>
      </c>
      <c r="AF13" s="573">
        <v>33825</v>
      </c>
      <c r="AG13" s="571">
        <f>AF13/AE13*100</f>
        <v>100</v>
      </c>
      <c r="AH13" s="1203">
        <v>38771</v>
      </c>
      <c r="AI13" s="1204">
        <v>38771</v>
      </c>
      <c r="AJ13" s="1205">
        <v>100</v>
      </c>
    </row>
    <row r="14" spans="1:36" s="11" customFormat="1" ht="21" customHeight="1" thickBot="1">
      <c r="A14" s="396"/>
      <c r="B14" s="396"/>
      <c r="C14" s="396" t="s">
        <v>816</v>
      </c>
      <c r="D14" s="352">
        <v>108481</v>
      </c>
      <c r="E14" s="576">
        <v>94226</v>
      </c>
      <c r="F14" s="577">
        <f t="shared" si="0"/>
        <v>86.859450041942836</v>
      </c>
      <c r="G14" s="352">
        <v>108740</v>
      </c>
      <c r="H14" s="576">
        <v>95096</v>
      </c>
      <c r="I14" s="577">
        <f t="shared" si="1"/>
        <v>87.452639323156163</v>
      </c>
      <c r="J14" s="352">
        <v>104960</v>
      </c>
      <c r="K14" s="576">
        <v>93424</v>
      </c>
      <c r="L14" s="577">
        <f t="shared" si="2"/>
        <v>89.009146341463421</v>
      </c>
      <c r="M14" s="352">
        <v>104017</v>
      </c>
      <c r="N14" s="576">
        <v>94476</v>
      </c>
      <c r="O14" s="577">
        <f>N14/M14*100</f>
        <v>90.827460895815108</v>
      </c>
      <c r="P14" s="418">
        <v>105034</v>
      </c>
      <c r="Q14" s="418">
        <v>97312</v>
      </c>
      <c r="R14" s="578">
        <f>Q14/P14*100</f>
        <v>92.648094902602963</v>
      </c>
      <c r="S14" s="352">
        <v>98685</v>
      </c>
      <c r="T14" s="576">
        <v>93672</v>
      </c>
      <c r="U14" s="577">
        <f>T14/S14*100</f>
        <v>94.920200638394888</v>
      </c>
      <c r="V14" s="579">
        <v>96963</v>
      </c>
      <c r="W14" s="580">
        <v>93715</v>
      </c>
      <c r="X14" s="581">
        <v>96.7</v>
      </c>
      <c r="Y14" s="579">
        <v>96687</v>
      </c>
      <c r="Z14" s="580">
        <v>92894</v>
      </c>
      <c r="AA14" s="581">
        <v>96.1</v>
      </c>
      <c r="AB14" s="579">
        <v>93570</v>
      </c>
      <c r="AC14" s="580">
        <v>90972</v>
      </c>
      <c r="AD14" s="577">
        <f>AC14/AB14*100</f>
        <v>97.223469060596344</v>
      </c>
      <c r="AE14" s="579">
        <v>96212</v>
      </c>
      <c r="AF14" s="580">
        <v>93621</v>
      </c>
      <c r="AG14" s="577">
        <f>AF14/AE14*100</f>
        <v>97.306988733214155</v>
      </c>
      <c r="AH14" s="1209">
        <v>97350</v>
      </c>
      <c r="AI14" s="1210">
        <v>95396</v>
      </c>
      <c r="AJ14" s="1211">
        <v>97.992809450436567</v>
      </c>
    </row>
    <row r="15" spans="1:36" s="11" customFormat="1" ht="21" customHeight="1">
      <c r="A15" s="11" t="s">
        <v>817</v>
      </c>
    </row>
  </sheetData>
  <mergeCells count="13">
    <mergeCell ref="A5:C5"/>
    <mergeCell ref="S2:U2"/>
    <mergeCell ref="V2:X2"/>
    <mergeCell ref="Y2:AA2"/>
    <mergeCell ref="AB2:AD2"/>
    <mergeCell ref="AE2:AG2"/>
    <mergeCell ref="AH2:AJ2"/>
    <mergeCell ref="A2:C3"/>
    <mergeCell ref="D2:F2"/>
    <mergeCell ref="G2:I2"/>
    <mergeCell ref="J2:L2"/>
    <mergeCell ref="M2:O2"/>
    <mergeCell ref="P2:R2"/>
  </mergeCells>
  <phoneticPr fontId="4"/>
  <pageMargins left="0.70866141732283472" right="0.70866141732283472" top="0.74803149606299213" bottom="0.7480314960629921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532C-B8F8-44F1-AB2E-9A5E53315942}">
  <sheetPr codeName="Sheet90"/>
  <dimension ref="A1:AE29"/>
  <sheetViews>
    <sheetView zoomScaleNormal="100" workbookViewId="0"/>
  </sheetViews>
  <sheetFormatPr defaultColWidth="8.09765625" defaultRowHeight="17.25" customHeight="1"/>
  <cols>
    <col min="1" max="1" width="17.69921875" style="1235" customWidth="1"/>
    <col min="2" max="2" width="8.69921875" style="322" hidden="1" customWidth="1"/>
    <col min="3" max="3" width="5.5" style="1201" hidden="1" customWidth="1"/>
    <col min="4" max="4" width="8.69921875" style="322" hidden="1" customWidth="1"/>
    <col min="5" max="5" width="5.5" style="1201" hidden="1" customWidth="1"/>
    <col min="6" max="6" width="8.69921875" style="322" hidden="1" customWidth="1"/>
    <col min="7" max="7" width="5.5" style="1201" hidden="1" customWidth="1"/>
    <col min="8" max="8" width="8.69921875" style="322" hidden="1" customWidth="1"/>
    <col min="9" max="9" width="5.5" style="1201" hidden="1" customWidth="1"/>
    <col min="10" max="10" width="8.69921875" style="322" hidden="1" customWidth="1"/>
    <col min="11" max="11" width="6" style="1201" hidden="1" customWidth="1"/>
    <col min="12" max="12" width="8.69921875" style="322" hidden="1" customWidth="1"/>
    <col min="13" max="13" width="4.296875" style="1201" hidden="1" customWidth="1"/>
    <col min="14" max="14" width="10" style="322" bestFit="1" customWidth="1"/>
    <col min="15" max="15" width="6" style="1201" customWidth="1"/>
    <col min="16" max="16" width="10" style="1201" bestFit="1" customWidth="1"/>
    <col min="17" max="17" width="6" style="1201" customWidth="1"/>
    <col min="18" max="18" width="10" style="1201" bestFit="1" customWidth="1"/>
    <col min="19" max="19" width="6" style="1201" customWidth="1"/>
    <col min="20" max="20" width="10" style="322" bestFit="1" customWidth="1"/>
    <col min="21" max="21" width="6" style="1201" customWidth="1"/>
    <col min="22" max="22" width="10.3984375" style="1201" bestFit="1" customWidth="1"/>
    <col min="23" max="23" width="6" style="1201" customWidth="1"/>
    <col min="24" max="24" width="9.19921875" style="1201" bestFit="1" customWidth="1"/>
    <col min="25" max="25" width="6" style="1201" customWidth="1"/>
    <col min="26" max="26" width="9.19921875" style="1201" bestFit="1" customWidth="1"/>
    <col min="27" max="27" width="6" style="1201" customWidth="1"/>
    <col min="28" max="28" width="9.19921875" style="1201" bestFit="1" customWidth="1"/>
    <col min="29" max="29" width="6" style="1201" customWidth="1"/>
    <col min="30" max="30" width="9.19921875" style="1201" bestFit="1" customWidth="1"/>
    <col min="31" max="31" width="6" style="1201" customWidth="1"/>
    <col min="32" max="16384" width="8.09765625" style="1201"/>
  </cols>
  <sheetData>
    <row r="1" spans="1:31" ht="30" customHeight="1" thickBot="1">
      <c r="A1" s="1200" t="s">
        <v>2570</v>
      </c>
      <c r="V1" s="1236"/>
      <c r="W1" s="1236"/>
      <c r="X1" s="1236"/>
      <c r="Y1" s="1236"/>
      <c r="Z1" s="1236"/>
      <c r="AA1" s="1236"/>
      <c r="AB1" s="1236"/>
      <c r="AC1" s="1236"/>
      <c r="AD1" s="1236"/>
      <c r="AE1" s="1236"/>
    </row>
    <row r="2" spans="1:31" ht="19.2" customHeight="1">
      <c r="A2" s="1212" t="s">
        <v>2571</v>
      </c>
      <c r="B2" s="2387" t="s">
        <v>2572</v>
      </c>
      <c r="C2" s="2388"/>
      <c r="D2" s="2387" t="s">
        <v>2573</v>
      </c>
      <c r="E2" s="2388"/>
      <c r="F2" s="2387" t="s">
        <v>2574</v>
      </c>
      <c r="G2" s="2388"/>
      <c r="H2" s="2387" t="s">
        <v>1501</v>
      </c>
      <c r="I2" s="2388"/>
      <c r="J2" s="2387" t="s">
        <v>1792</v>
      </c>
      <c r="K2" s="2388"/>
      <c r="L2" s="2387" t="s">
        <v>2575</v>
      </c>
      <c r="M2" s="2388"/>
      <c r="N2" s="2387" t="s">
        <v>2576</v>
      </c>
      <c r="O2" s="2388"/>
      <c r="P2" s="2387" t="s">
        <v>1832</v>
      </c>
      <c r="Q2" s="2388"/>
      <c r="R2" s="2387" t="s">
        <v>1833</v>
      </c>
      <c r="S2" s="2388"/>
      <c r="T2" s="2392" t="s">
        <v>1834</v>
      </c>
      <c r="U2" s="2387"/>
      <c r="V2" s="2390" t="s">
        <v>2577</v>
      </c>
      <c r="W2" s="2393"/>
      <c r="X2" s="2389" t="s">
        <v>1059</v>
      </c>
      <c r="Y2" s="2390"/>
      <c r="Z2" s="2389" t="s">
        <v>2578</v>
      </c>
      <c r="AA2" s="2390"/>
      <c r="AB2" s="2389" t="s">
        <v>2579</v>
      </c>
      <c r="AC2" s="2390"/>
      <c r="AD2" s="2389" t="s">
        <v>2580</v>
      </c>
      <c r="AE2" s="2391"/>
    </row>
    <row r="3" spans="1:31" ht="19.2" customHeight="1">
      <c r="A3" s="1213" t="s">
        <v>2581</v>
      </c>
      <c r="B3" s="1214" t="s">
        <v>2582</v>
      </c>
      <c r="C3" s="1215" t="s">
        <v>2583</v>
      </c>
      <c r="D3" s="1214" t="s">
        <v>2582</v>
      </c>
      <c r="E3" s="1215" t="s">
        <v>2583</v>
      </c>
      <c r="F3" s="1214" t="s">
        <v>2582</v>
      </c>
      <c r="G3" s="1215" t="s">
        <v>2583</v>
      </c>
      <c r="H3" s="1214" t="s">
        <v>2582</v>
      </c>
      <c r="I3" s="1215" t="s">
        <v>2583</v>
      </c>
      <c r="J3" s="1214" t="s">
        <v>2582</v>
      </c>
      <c r="K3" s="1215" t="s">
        <v>2583</v>
      </c>
      <c r="L3" s="1214" t="s">
        <v>2582</v>
      </c>
      <c r="M3" s="1215" t="s">
        <v>2583</v>
      </c>
      <c r="N3" s="1214" t="s">
        <v>2582</v>
      </c>
      <c r="O3" s="1215" t="s">
        <v>2583</v>
      </c>
      <c r="P3" s="1214" t="s">
        <v>2582</v>
      </c>
      <c r="Q3" s="1215" t="s">
        <v>2583</v>
      </c>
      <c r="R3" s="1214" t="s">
        <v>2582</v>
      </c>
      <c r="S3" s="1215" t="s">
        <v>2583</v>
      </c>
      <c r="T3" s="1214" t="s">
        <v>2582</v>
      </c>
      <c r="U3" s="1215" t="s">
        <v>2583</v>
      </c>
      <c r="V3" s="1237" t="s">
        <v>2584</v>
      </c>
      <c r="W3" s="1237" t="s">
        <v>2585</v>
      </c>
      <c r="X3" s="1214" t="s">
        <v>2582</v>
      </c>
      <c r="Y3" s="1238" t="s">
        <v>2583</v>
      </c>
      <c r="Z3" s="1214" t="s">
        <v>2582</v>
      </c>
      <c r="AA3" s="1238" t="s">
        <v>2583</v>
      </c>
      <c r="AB3" s="1214" t="s">
        <v>2582</v>
      </c>
      <c r="AC3" s="1238" t="s">
        <v>2583</v>
      </c>
      <c r="AD3" s="1214" t="s">
        <v>2582</v>
      </c>
      <c r="AE3" s="1239" t="s">
        <v>2583</v>
      </c>
    </row>
    <row r="4" spans="1:31" ht="19.2" customHeight="1">
      <c r="A4" s="1216"/>
      <c r="B4" s="1217" t="s">
        <v>1517</v>
      </c>
      <c r="C4" s="1218" t="s">
        <v>1026</v>
      </c>
      <c r="D4" s="1217" t="s">
        <v>1517</v>
      </c>
      <c r="E4" s="1218" t="s">
        <v>1026</v>
      </c>
      <c r="F4" s="1217" t="s">
        <v>1517</v>
      </c>
      <c r="G4" s="1218" t="s">
        <v>1026</v>
      </c>
      <c r="H4" s="1217" t="s">
        <v>1517</v>
      </c>
      <c r="I4" s="1218" t="s">
        <v>1026</v>
      </c>
      <c r="J4" s="1217" t="s">
        <v>1517</v>
      </c>
      <c r="K4" s="1218" t="s">
        <v>1026</v>
      </c>
      <c r="L4" s="1217" t="s">
        <v>1517</v>
      </c>
      <c r="M4" s="1218" t="s">
        <v>1026</v>
      </c>
      <c r="N4" s="1217" t="s">
        <v>1517</v>
      </c>
      <c r="O4" s="1218" t="s">
        <v>1026</v>
      </c>
      <c r="P4" s="1217" t="s">
        <v>1517</v>
      </c>
      <c r="Q4" s="1218" t="s">
        <v>1026</v>
      </c>
      <c r="R4" s="1217" t="s">
        <v>1517</v>
      </c>
      <c r="S4" s="1218" t="s">
        <v>1026</v>
      </c>
      <c r="T4" s="1217" t="s">
        <v>1517</v>
      </c>
      <c r="U4" s="1218" t="s">
        <v>1026</v>
      </c>
      <c r="V4" s="1240" t="s">
        <v>803</v>
      </c>
      <c r="W4" s="1240" t="s">
        <v>281</v>
      </c>
      <c r="X4" s="1241" t="s">
        <v>803</v>
      </c>
      <c r="Y4" s="1236" t="s">
        <v>281</v>
      </c>
      <c r="Z4" s="1241" t="s">
        <v>803</v>
      </c>
      <c r="AA4" s="1236" t="s">
        <v>281</v>
      </c>
      <c r="AB4" s="1241" t="s">
        <v>803</v>
      </c>
      <c r="AC4" s="1236" t="s">
        <v>281</v>
      </c>
      <c r="AD4" s="1241" t="s">
        <v>803</v>
      </c>
      <c r="AE4" s="1242" t="s">
        <v>281</v>
      </c>
    </row>
    <row r="5" spans="1:31" ht="19.2" customHeight="1">
      <c r="A5" s="1219" t="s">
        <v>2586</v>
      </c>
      <c r="B5" s="1220">
        <v>4254310</v>
      </c>
      <c r="C5" s="1221">
        <v>93.045050294030673</v>
      </c>
      <c r="D5" s="1220">
        <v>4353447</v>
      </c>
      <c r="E5" s="1221">
        <f>D5/B5*100</f>
        <v>102.33027212403421</v>
      </c>
      <c r="F5" s="1220">
        <v>4197986</v>
      </c>
      <c r="G5" s="1221">
        <f>F5/D5*100</f>
        <v>96.429013606918829</v>
      </c>
      <c r="H5" s="1220">
        <v>4093438</v>
      </c>
      <c r="I5" s="1221">
        <f>H5/F5*100</f>
        <v>97.509567683169976</v>
      </c>
      <c r="J5" s="1220">
        <v>4098833</v>
      </c>
      <c r="K5" s="1221">
        <f>J5/H5*100</f>
        <v>100.1317963042313</v>
      </c>
      <c r="L5" s="1220">
        <v>4162505</v>
      </c>
      <c r="M5" s="1221">
        <f t="shared" ref="M5:M28" si="0">L5/J5*100</f>
        <v>101.55341776549569</v>
      </c>
      <c r="N5" s="1220">
        <v>4130832</v>
      </c>
      <c r="O5" s="1221">
        <f>N5/L5*100</f>
        <v>99.239088001095496</v>
      </c>
      <c r="P5" s="1220">
        <v>4173507</v>
      </c>
      <c r="Q5" s="1221">
        <f>P5/N5*100</f>
        <v>101.03308486038647</v>
      </c>
      <c r="R5" s="1220">
        <v>4280942</v>
      </c>
      <c r="S5" s="1221">
        <f>R5/P5*100</f>
        <v>102.5742139644189</v>
      </c>
      <c r="T5" s="1220">
        <v>4269694</v>
      </c>
      <c r="U5" s="1221">
        <f>T5/R5*100</f>
        <v>99.737254090338055</v>
      </c>
      <c r="V5" s="1243">
        <v>4295610</v>
      </c>
      <c r="W5" s="1244">
        <f>V5/T5*100</f>
        <v>100.60697558185669</v>
      </c>
      <c r="X5" s="333">
        <v>4093910</v>
      </c>
      <c r="Y5" s="1244">
        <f>X5/V5*100</f>
        <v>95.304508556409914</v>
      </c>
      <c r="Z5" s="333">
        <v>4118584</v>
      </c>
      <c r="AA5" s="1244">
        <f>Z5/X5*100</f>
        <v>100.6027001082095</v>
      </c>
      <c r="AB5" s="321">
        <v>4277888</v>
      </c>
      <c r="AC5" s="1245">
        <f>AB5/Z5*100</f>
        <v>103.86793130843029</v>
      </c>
      <c r="AD5" s="321">
        <v>4407018</v>
      </c>
      <c r="AE5" s="1246">
        <f>AD5/AB5*100</f>
        <v>103.01854560007182</v>
      </c>
    </row>
    <row r="6" spans="1:31" ht="19.2" customHeight="1">
      <c r="A6" s="1219" t="s">
        <v>2587</v>
      </c>
      <c r="B6" s="1220">
        <v>217737</v>
      </c>
      <c r="C6" s="1221">
        <v>93.163468326808299</v>
      </c>
      <c r="D6" s="1220">
        <v>210981</v>
      </c>
      <c r="E6" s="1221">
        <f t="shared" ref="E6:E28" si="1">D6/B6*100</f>
        <v>96.897174113724361</v>
      </c>
      <c r="F6" s="1220">
        <v>208463</v>
      </c>
      <c r="G6" s="1221">
        <f t="shared" ref="G6:G28" si="2">F6/D6*100</f>
        <v>98.806527602011556</v>
      </c>
      <c r="H6" s="1220">
        <v>194800</v>
      </c>
      <c r="I6" s="1221">
        <f t="shared" ref="I6:I28" si="3">H6/F6*100</f>
        <v>93.445839309613703</v>
      </c>
      <c r="J6" s="1220">
        <v>185244</v>
      </c>
      <c r="K6" s="1221">
        <f t="shared" ref="K6:K28" si="4">J6/H6*100</f>
        <v>95.094455852156059</v>
      </c>
      <c r="L6" s="1220">
        <v>176256</v>
      </c>
      <c r="M6" s="1221">
        <f t="shared" si="0"/>
        <v>95.148020988534043</v>
      </c>
      <c r="N6" s="1220">
        <v>183993</v>
      </c>
      <c r="O6" s="1221">
        <f>N6/L6*100</f>
        <v>104.38963779956427</v>
      </c>
      <c r="P6" s="1220">
        <v>181879</v>
      </c>
      <c r="Q6" s="1221">
        <f>P6/N6*100</f>
        <v>98.851043246210452</v>
      </c>
      <c r="R6" s="1220">
        <v>181901</v>
      </c>
      <c r="S6" s="1221">
        <f t="shared" ref="S6:S28" si="5">R6/P6*100</f>
        <v>100.01209595390341</v>
      </c>
      <c r="T6" s="1220">
        <v>183597</v>
      </c>
      <c r="U6" s="1221">
        <f t="shared" ref="U6:U27" si="6">T6/R6*100</f>
        <v>100.93237530304945</v>
      </c>
      <c r="V6" s="1243">
        <v>193708</v>
      </c>
      <c r="W6" s="1244">
        <f t="shared" ref="W6:W27" si="7">V6/T6*100</f>
        <v>105.50717059646944</v>
      </c>
      <c r="X6" s="333">
        <v>204772</v>
      </c>
      <c r="Y6" s="1244">
        <f t="shared" ref="Y6:Y27" si="8">X6/V6*100</f>
        <v>105.7116897598447</v>
      </c>
      <c r="Z6" s="333">
        <v>207717</v>
      </c>
      <c r="AA6" s="1244">
        <f>Z6/X6*100</f>
        <v>101.43818490809291</v>
      </c>
      <c r="AB6" s="321">
        <v>211590</v>
      </c>
      <c r="AC6" s="1245">
        <f t="shared" ref="AC6:AC28" si="9">AB6/Z6*100</f>
        <v>101.86455610277446</v>
      </c>
      <c r="AD6" s="321">
        <v>213045</v>
      </c>
      <c r="AE6" s="1246">
        <f t="shared" ref="AE6:AE28" si="10">AD6/AB6*100</f>
        <v>100.68765064511555</v>
      </c>
    </row>
    <row r="7" spans="1:31" ht="19.2" customHeight="1">
      <c r="A7" s="1219" t="s">
        <v>2588</v>
      </c>
      <c r="B7" s="1220">
        <v>14326</v>
      </c>
      <c r="C7" s="1221">
        <v>93.768817908103159</v>
      </c>
      <c r="D7" s="1220">
        <v>13688</v>
      </c>
      <c r="E7" s="1221">
        <f t="shared" si="1"/>
        <v>95.546558704453446</v>
      </c>
      <c r="F7" s="1220">
        <v>9424</v>
      </c>
      <c r="G7" s="1221">
        <f t="shared" si="2"/>
        <v>68.848626534190529</v>
      </c>
      <c r="H7" s="1220">
        <v>7231</v>
      </c>
      <c r="I7" s="1221">
        <f t="shared" si="3"/>
        <v>76.729626485568758</v>
      </c>
      <c r="J7" s="1220">
        <v>5935</v>
      </c>
      <c r="K7" s="1221">
        <f t="shared" si="4"/>
        <v>82.077167749965426</v>
      </c>
      <c r="L7" s="1220">
        <v>5775</v>
      </c>
      <c r="M7" s="1221">
        <f t="shared" si="0"/>
        <v>97.304128053917438</v>
      </c>
      <c r="N7" s="1220">
        <v>4712</v>
      </c>
      <c r="O7" s="1221">
        <f>N7/L7*100</f>
        <v>81.593073593073598</v>
      </c>
      <c r="P7" s="1220">
        <v>3003</v>
      </c>
      <c r="Q7" s="1221">
        <f>P7/N7*100</f>
        <v>63.730899830220707</v>
      </c>
      <c r="R7" s="1220">
        <v>5058</v>
      </c>
      <c r="S7" s="1221">
        <f t="shared" si="5"/>
        <v>168.43156843156842</v>
      </c>
      <c r="T7" s="1220">
        <v>5832</v>
      </c>
      <c r="U7" s="1221">
        <f t="shared" si="6"/>
        <v>115.30249110320285</v>
      </c>
      <c r="V7" s="1243">
        <v>2697</v>
      </c>
      <c r="W7" s="1244">
        <f t="shared" si="7"/>
        <v>46.244855967078195</v>
      </c>
      <c r="X7" s="333">
        <v>2562</v>
      </c>
      <c r="Y7" s="1244">
        <f t="shared" si="8"/>
        <v>94.994438264738605</v>
      </c>
      <c r="Z7" s="333">
        <v>2056</v>
      </c>
      <c r="AA7" s="1244">
        <f t="shared" ref="AA7:AA28" si="11">Z7/X7*100</f>
        <v>80.249804839968775</v>
      </c>
      <c r="AB7" s="321">
        <v>1136</v>
      </c>
      <c r="AC7" s="1245">
        <f t="shared" si="9"/>
        <v>55.252918287937746</v>
      </c>
      <c r="AD7" s="321">
        <v>907</v>
      </c>
      <c r="AE7" s="1246">
        <f t="shared" si="10"/>
        <v>79.841549295774655</v>
      </c>
    </row>
    <row r="8" spans="1:31" ht="19.2" customHeight="1">
      <c r="A8" s="1219" t="s">
        <v>2589</v>
      </c>
      <c r="B8" s="1220">
        <v>3462</v>
      </c>
      <c r="C8" s="1221">
        <v>78.503401360544217</v>
      </c>
      <c r="D8" s="1220">
        <v>3461</v>
      </c>
      <c r="E8" s="1221">
        <f t="shared" si="1"/>
        <v>99.971114962449448</v>
      </c>
      <c r="F8" s="1220">
        <v>5289</v>
      </c>
      <c r="G8" s="1221">
        <f t="shared" si="2"/>
        <v>152.81710488298179</v>
      </c>
      <c r="H8" s="1220">
        <v>4786</v>
      </c>
      <c r="I8" s="1221">
        <f t="shared" si="3"/>
        <v>90.489695594630362</v>
      </c>
      <c r="J8" s="1220">
        <v>8719</v>
      </c>
      <c r="K8" s="1221">
        <f t="shared" si="4"/>
        <v>182.17718345173421</v>
      </c>
      <c r="L8" s="1220">
        <v>16388</v>
      </c>
      <c r="M8" s="1221">
        <f t="shared" si="0"/>
        <v>187.95733455671521</v>
      </c>
      <c r="N8" s="1220">
        <v>13135</v>
      </c>
      <c r="O8" s="1221">
        <f>N8/L8*100</f>
        <v>80.150109836465717</v>
      </c>
      <c r="P8" s="1220">
        <v>9232</v>
      </c>
      <c r="Q8" s="1221">
        <f>P8/N8*100</f>
        <v>70.285496764370009</v>
      </c>
      <c r="R8" s="1220">
        <v>12057</v>
      </c>
      <c r="S8" s="1221">
        <f t="shared" si="5"/>
        <v>130.60008665511265</v>
      </c>
      <c r="T8" s="1220">
        <v>9915</v>
      </c>
      <c r="U8" s="1221">
        <f t="shared" si="6"/>
        <v>82.234386663349085</v>
      </c>
      <c r="V8" s="1243">
        <v>11881</v>
      </c>
      <c r="W8" s="1244">
        <f t="shared" si="7"/>
        <v>119.82854261220372</v>
      </c>
      <c r="X8" s="333">
        <v>11288</v>
      </c>
      <c r="Y8" s="1244">
        <f t="shared" si="8"/>
        <v>95.008837639929297</v>
      </c>
      <c r="Z8" s="333">
        <v>15893</v>
      </c>
      <c r="AA8" s="1244">
        <f t="shared" si="11"/>
        <v>140.79553508150249</v>
      </c>
      <c r="AB8" s="321">
        <v>13731</v>
      </c>
      <c r="AC8" s="1245">
        <f t="shared" si="9"/>
        <v>86.396526772793052</v>
      </c>
      <c r="AD8" s="321">
        <v>16631</v>
      </c>
      <c r="AE8" s="1246">
        <f t="shared" si="10"/>
        <v>121.1200932197218</v>
      </c>
    </row>
    <row r="9" spans="1:31" ht="19.2" customHeight="1">
      <c r="A9" s="1222" t="s">
        <v>2590</v>
      </c>
      <c r="B9" s="1220">
        <v>1770</v>
      </c>
      <c r="C9" s="1221">
        <v>110.00621504039776</v>
      </c>
      <c r="D9" s="1220">
        <v>1279</v>
      </c>
      <c r="E9" s="1221">
        <f t="shared" si="1"/>
        <v>72.259887005649716</v>
      </c>
      <c r="F9" s="1220">
        <v>1662</v>
      </c>
      <c r="G9" s="1221">
        <f t="shared" si="2"/>
        <v>129.94526974198592</v>
      </c>
      <c r="H9" s="1220">
        <v>1091</v>
      </c>
      <c r="I9" s="1221">
        <f t="shared" si="3"/>
        <v>65.643802647412755</v>
      </c>
      <c r="J9" s="1220">
        <v>14713</v>
      </c>
      <c r="K9" s="1221">
        <f t="shared" si="4"/>
        <v>1348.5792850595783</v>
      </c>
      <c r="L9" s="1220">
        <v>12442</v>
      </c>
      <c r="M9" s="1221">
        <f t="shared" si="0"/>
        <v>84.564670699381495</v>
      </c>
      <c r="N9" s="1220">
        <v>13470</v>
      </c>
      <c r="O9" s="1221">
        <f>N9/L9*100</f>
        <v>108.26233724481595</v>
      </c>
      <c r="P9" s="1220">
        <v>5333</v>
      </c>
      <c r="Q9" s="1221">
        <f>P9/N9*100</f>
        <v>39.591685226429099</v>
      </c>
      <c r="R9" s="1220">
        <v>13043</v>
      </c>
      <c r="S9" s="1221">
        <f t="shared" si="5"/>
        <v>244.57153572098255</v>
      </c>
      <c r="T9" s="1220">
        <v>8323</v>
      </c>
      <c r="U9" s="1221">
        <f t="shared" si="6"/>
        <v>63.812006440236146</v>
      </c>
      <c r="V9" s="1243">
        <v>6838</v>
      </c>
      <c r="W9" s="1244">
        <f t="shared" si="7"/>
        <v>82.157875765949768</v>
      </c>
      <c r="X9" s="333">
        <v>13010</v>
      </c>
      <c r="Y9" s="1244">
        <f t="shared" si="8"/>
        <v>190.26031003217315</v>
      </c>
      <c r="Z9" s="333">
        <v>17041</v>
      </c>
      <c r="AA9" s="1244">
        <f>Z9/X9*100</f>
        <v>130.98385857033051</v>
      </c>
      <c r="AB9" s="321">
        <v>9903</v>
      </c>
      <c r="AC9" s="1245">
        <f t="shared" si="9"/>
        <v>58.112786808285897</v>
      </c>
      <c r="AD9" s="321">
        <v>16523</v>
      </c>
      <c r="AE9" s="1246">
        <f t="shared" si="10"/>
        <v>166.84842976875694</v>
      </c>
    </row>
    <row r="10" spans="1:31" ht="19.2" customHeight="1">
      <c r="A10" s="1222" t="s">
        <v>2591</v>
      </c>
      <c r="B10" s="1220"/>
      <c r="C10" s="1221"/>
      <c r="D10" s="1220"/>
      <c r="E10" s="1221"/>
      <c r="F10" s="1220"/>
      <c r="G10" s="1221"/>
      <c r="H10" s="1220"/>
      <c r="I10" s="1221"/>
      <c r="J10" s="1220"/>
      <c r="K10" s="1221"/>
      <c r="L10" s="1220"/>
      <c r="M10" s="1221"/>
      <c r="N10" s="1223" t="s">
        <v>384</v>
      </c>
      <c r="O10" s="1224" t="s">
        <v>384</v>
      </c>
      <c r="P10" s="1223" t="s">
        <v>384</v>
      </c>
      <c r="Q10" s="1224" t="s">
        <v>384</v>
      </c>
      <c r="R10" s="1223" t="s">
        <v>384</v>
      </c>
      <c r="S10" s="1224" t="s">
        <v>384</v>
      </c>
      <c r="T10" s="1223" t="s">
        <v>384</v>
      </c>
      <c r="U10" s="1224" t="s">
        <v>384</v>
      </c>
      <c r="V10" s="480" t="s">
        <v>384</v>
      </c>
      <c r="W10" s="1247" t="s">
        <v>384</v>
      </c>
      <c r="X10" s="333">
        <v>31093</v>
      </c>
      <c r="Y10" s="1244" t="s">
        <v>2592</v>
      </c>
      <c r="Z10" s="333">
        <v>63231</v>
      </c>
      <c r="AA10" s="1244">
        <f t="shared" si="11"/>
        <v>203.36088508667544</v>
      </c>
      <c r="AB10" s="321">
        <v>74139</v>
      </c>
      <c r="AC10" s="1245">
        <f t="shared" si="9"/>
        <v>117.25103193054041</v>
      </c>
      <c r="AD10" s="321">
        <v>60000</v>
      </c>
      <c r="AE10" s="1246">
        <f t="shared" si="10"/>
        <v>80.92906567393679</v>
      </c>
    </row>
    <row r="11" spans="1:31" ht="19.2" customHeight="1">
      <c r="A11" s="1219" t="s">
        <v>2593</v>
      </c>
      <c r="B11" s="1220">
        <v>318749</v>
      </c>
      <c r="C11" s="1221">
        <v>103.84631674284802</v>
      </c>
      <c r="D11" s="1220">
        <v>318202</v>
      </c>
      <c r="E11" s="1221">
        <f t="shared" si="1"/>
        <v>99.828391618483508</v>
      </c>
      <c r="F11" s="1220">
        <v>313602</v>
      </c>
      <c r="G11" s="1221">
        <f t="shared" si="2"/>
        <v>98.554377408061541</v>
      </c>
      <c r="H11" s="1220">
        <v>308820</v>
      </c>
      <c r="I11" s="1221">
        <f t="shared" si="3"/>
        <v>98.475137275910228</v>
      </c>
      <c r="J11" s="1220">
        <v>306188</v>
      </c>
      <c r="K11" s="1221">
        <f t="shared" si="4"/>
        <v>99.147723593031543</v>
      </c>
      <c r="L11" s="1220">
        <v>370066</v>
      </c>
      <c r="M11" s="1221">
        <f t="shared" si="0"/>
        <v>120.86234600964114</v>
      </c>
      <c r="N11" s="1220">
        <v>601324</v>
      </c>
      <c r="O11" s="1221">
        <f>N11/L11*100</f>
        <v>162.49101511622251</v>
      </c>
      <c r="P11" s="1220">
        <v>536411</v>
      </c>
      <c r="Q11" s="1221">
        <f>P11/N11*100</f>
        <v>89.204987660562367</v>
      </c>
      <c r="R11" s="1220">
        <v>548586</v>
      </c>
      <c r="S11" s="1221">
        <f t="shared" si="5"/>
        <v>102.26971482687715</v>
      </c>
      <c r="T11" s="1220">
        <v>572259</v>
      </c>
      <c r="U11" s="1221">
        <f t="shared" si="6"/>
        <v>104.31527600048123</v>
      </c>
      <c r="V11" s="1243">
        <v>542071</v>
      </c>
      <c r="W11" s="1244">
        <f t="shared" si="7"/>
        <v>94.7247662334712</v>
      </c>
      <c r="X11" s="333">
        <v>657676</v>
      </c>
      <c r="Y11" s="1244">
        <f t="shared" si="8"/>
        <v>121.32654209503922</v>
      </c>
      <c r="Z11" s="333">
        <v>707408</v>
      </c>
      <c r="AA11" s="1244">
        <f t="shared" si="11"/>
        <v>107.56177813999599</v>
      </c>
      <c r="AB11" s="321">
        <v>713412</v>
      </c>
      <c r="AC11" s="1245">
        <f t="shared" si="9"/>
        <v>100.84873227331327</v>
      </c>
      <c r="AD11" s="321">
        <v>687887</v>
      </c>
      <c r="AE11" s="1246">
        <f t="shared" si="10"/>
        <v>96.422123541515987</v>
      </c>
    </row>
    <row r="12" spans="1:31" ht="19.2" customHeight="1">
      <c r="A12" s="1222" t="s">
        <v>2594</v>
      </c>
      <c r="B12" s="1220">
        <v>2058</v>
      </c>
      <c r="C12" s="1225">
        <v>85.111662531017373</v>
      </c>
      <c r="D12" s="1220">
        <v>2072</v>
      </c>
      <c r="E12" s="1225">
        <f t="shared" si="1"/>
        <v>100.68027210884354</v>
      </c>
      <c r="F12" s="1220">
        <v>2036</v>
      </c>
      <c r="G12" s="1225">
        <f t="shared" si="2"/>
        <v>98.262548262548265</v>
      </c>
      <c r="H12" s="1220">
        <v>1771</v>
      </c>
      <c r="I12" s="1225">
        <f t="shared" si="3"/>
        <v>86.984282907662077</v>
      </c>
      <c r="J12" s="1220">
        <v>1752</v>
      </c>
      <c r="K12" s="1225">
        <f t="shared" si="4"/>
        <v>98.927159796725022</v>
      </c>
      <c r="L12" s="1220">
        <v>1812</v>
      </c>
      <c r="M12" s="1225">
        <f t="shared" si="0"/>
        <v>103.42465753424656</v>
      </c>
      <c r="N12" s="1220">
        <v>1721</v>
      </c>
      <c r="O12" s="1225">
        <f>N12/L12*100</f>
        <v>94.977924944812358</v>
      </c>
      <c r="P12" s="1220">
        <v>1768</v>
      </c>
      <c r="Q12" s="1221">
        <f>P12/N12*100</f>
        <v>102.73097036606624</v>
      </c>
      <c r="R12" s="1220">
        <v>1735</v>
      </c>
      <c r="S12" s="1221">
        <f t="shared" si="5"/>
        <v>98.133484162895925</v>
      </c>
      <c r="T12" s="1220">
        <v>1565</v>
      </c>
      <c r="U12" s="1221">
        <f t="shared" si="6"/>
        <v>90.201729106628235</v>
      </c>
      <c r="V12" s="1243">
        <v>1495</v>
      </c>
      <c r="W12" s="1244">
        <f t="shared" si="7"/>
        <v>95.527156549520768</v>
      </c>
      <c r="X12" s="333">
        <v>1432</v>
      </c>
      <c r="Y12" s="1244">
        <f t="shared" si="8"/>
        <v>95.785953177257525</v>
      </c>
      <c r="Z12" s="333">
        <v>1710</v>
      </c>
      <c r="AA12" s="1244">
        <f t="shared" si="11"/>
        <v>119.41340782122904</v>
      </c>
      <c r="AB12" s="321">
        <v>1706</v>
      </c>
      <c r="AC12" s="1245">
        <f t="shared" si="9"/>
        <v>99.766081871345023</v>
      </c>
      <c r="AD12" s="321">
        <v>1570</v>
      </c>
      <c r="AE12" s="1246">
        <f t="shared" si="10"/>
        <v>92.028135990621337</v>
      </c>
    </row>
    <row r="13" spans="1:31" ht="19.2" customHeight="1">
      <c r="A13" s="1222" t="s">
        <v>2595</v>
      </c>
      <c r="B13" s="1220"/>
      <c r="C13" s="1225"/>
      <c r="D13" s="1220"/>
      <c r="E13" s="1225"/>
      <c r="F13" s="1220"/>
      <c r="G13" s="1225"/>
      <c r="H13" s="1220"/>
      <c r="I13" s="1225"/>
      <c r="J13" s="1220"/>
      <c r="K13" s="1225"/>
      <c r="L13" s="1220"/>
      <c r="M13" s="1225"/>
      <c r="N13" s="1223" t="s">
        <v>384</v>
      </c>
      <c r="O13" s="1224" t="s">
        <v>384</v>
      </c>
      <c r="P13" s="1223" t="s">
        <v>384</v>
      </c>
      <c r="Q13" s="1224" t="s">
        <v>384</v>
      </c>
      <c r="R13" s="1223" t="s">
        <v>384</v>
      </c>
      <c r="S13" s="1224" t="s">
        <v>384</v>
      </c>
      <c r="T13" s="1223" t="s">
        <v>384</v>
      </c>
      <c r="U13" s="1224" t="s">
        <v>384</v>
      </c>
      <c r="V13" s="480" t="s">
        <v>384</v>
      </c>
      <c r="W13" s="1247" t="s">
        <v>384</v>
      </c>
      <c r="X13" s="333">
        <v>12474</v>
      </c>
      <c r="Y13" s="1244" t="s">
        <v>2592</v>
      </c>
      <c r="Z13" s="333">
        <v>13466</v>
      </c>
      <c r="AA13" s="1244">
        <f t="shared" si="11"/>
        <v>107.95254128587462</v>
      </c>
      <c r="AB13" s="321">
        <v>12952</v>
      </c>
      <c r="AC13" s="1245">
        <f t="shared" si="9"/>
        <v>96.182979355413636</v>
      </c>
      <c r="AD13" s="321">
        <v>16230</v>
      </c>
      <c r="AE13" s="1246">
        <f t="shared" si="10"/>
        <v>125.3088326127239</v>
      </c>
    </row>
    <row r="14" spans="1:31" ht="19.2" customHeight="1">
      <c r="A14" s="1219" t="s">
        <v>2596</v>
      </c>
      <c r="B14" s="1220">
        <v>52361</v>
      </c>
      <c r="C14" s="1221">
        <v>59.847982626585896</v>
      </c>
      <c r="D14" s="1220">
        <v>46974</v>
      </c>
      <c r="E14" s="1221">
        <f t="shared" si="1"/>
        <v>89.711808407020484</v>
      </c>
      <c r="F14" s="1220">
        <v>39841</v>
      </c>
      <c r="G14" s="1221">
        <f t="shared" si="2"/>
        <v>84.815004044790726</v>
      </c>
      <c r="H14" s="1220">
        <v>51880</v>
      </c>
      <c r="I14" s="1221">
        <f t="shared" si="3"/>
        <v>130.21761501970332</v>
      </c>
      <c r="J14" s="1220">
        <v>52214</v>
      </c>
      <c r="K14" s="1221">
        <f t="shared" si="4"/>
        <v>100.6437933693138</v>
      </c>
      <c r="L14" s="1220">
        <v>18812</v>
      </c>
      <c r="M14" s="1221">
        <f t="shared" si="0"/>
        <v>36.028651319569462</v>
      </c>
      <c r="N14" s="1220">
        <v>34389</v>
      </c>
      <c r="O14" s="1221">
        <f t="shared" ref="O14:O28" si="12">N14/L14*100</f>
        <v>182.80352966191793</v>
      </c>
      <c r="P14" s="1220">
        <v>32638</v>
      </c>
      <c r="Q14" s="1221">
        <f t="shared" ref="Q14:Q28" si="13">P14/N14*100</f>
        <v>94.908255546831839</v>
      </c>
      <c r="R14" s="1220">
        <v>46745</v>
      </c>
      <c r="S14" s="1221">
        <f t="shared" si="5"/>
        <v>143.22262393529016</v>
      </c>
      <c r="T14" s="1220">
        <v>43604</v>
      </c>
      <c r="U14" s="1221">
        <f t="shared" si="6"/>
        <v>93.280564766285167</v>
      </c>
      <c r="V14" s="1243">
        <v>31962</v>
      </c>
      <c r="W14" s="1244">
        <f t="shared" si="7"/>
        <v>73.300614622511688</v>
      </c>
      <c r="X14" s="450" t="s">
        <v>384</v>
      </c>
      <c r="Y14" s="1247" t="s">
        <v>384</v>
      </c>
      <c r="Z14" s="450" t="s">
        <v>384</v>
      </c>
      <c r="AA14" s="1247" t="s">
        <v>384</v>
      </c>
      <c r="AB14" s="450" t="s">
        <v>384</v>
      </c>
      <c r="AC14" s="1248" t="s">
        <v>384</v>
      </c>
      <c r="AD14" s="450" t="s">
        <v>384</v>
      </c>
      <c r="AE14" s="1249" t="s">
        <v>384</v>
      </c>
    </row>
    <row r="15" spans="1:31" ht="19.2" customHeight="1">
      <c r="A15" s="1219" t="s">
        <v>2597</v>
      </c>
      <c r="B15" s="1226">
        <v>47937</v>
      </c>
      <c r="C15" s="1225">
        <v>110.57876404235196</v>
      </c>
      <c r="D15" s="1226">
        <v>71445</v>
      </c>
      <c r="E15" s="1225">
        <f t="shared" si="1"/>
        <v>149.03936416546716</v>
      </c>
      <c r="F15" s="1226">
        <v>61648</v>
      </c>
      <c r="G15" s="1225">
        <f t="shared" si="2"/>
        <v>86.28735390860102</v>
      </c>
      <c r="H15" s="1226">
        <v>10932</v>
      </c>
      <c r="I15" s="1225">
        <f t="shared" si="3"/>
        <v>17.73293537503244</v>
      </c>
      <c r="J15" s="1226">
        <v>9579</v>
      </c>
      <c r="K15" s="1225">
        <f t="shared" si="4"/>
        <v>87.623490669593849</v>
      </c>
      <c r="L15" s="1226">
        <v>8852</v>
      </c>
      <c r="M15" s="1225">
        <f t="shared" si="0"/>
        <v>92.410481261091974</v>
      </c>
      <c r="N15" s="1226">
        <v>8710</v>
      </c>
      <c r="O15" s="1225">
        <f t="shared" si="12"/>
        <v>98.395842747401716</v>
      </c>
      <c r="P15" s="1226">
        <v>8731</v>
      </c>
      <c r="Q15" s="1221">
        <f t="shared" si="13"/>
        <v>100.24110218140069</v>
      </c>
      <c r="R15" s="1226">
        <v>8955</v>
      </c>
      <c r="S15" s="1221">
        <f t="shared" si="5"/>
        <v>102.5655709540717</v>
      </c>
      <c r="T15" s="1226">
        <v>11473</v>
      </c>
      <c r="U15" s="1221">
        <f t="shared" si="6"/>
        <v>128.11836962590732</v>
      </c>
      <c r="V15" s="1243">
        <v>71646</v>
      </c>
      <c r="W15" s="1244">
        <f t="shared" si="7"/>
        <v>624.47485400505536</v>
      </c>
      <c r="X15" s="333">
        <v>23222</v>
      </c>
      <c r="Y15" s="1244">
        <f t="shared" si="8"/>
        <v>32.412137453591264</v>
      </c>
      <c r="Z15" s="333">
        <v>113200</v>
      </c>
      <c r="AA15" s="1244">
        <f t="shared" si="11"/>
        <v>487.4687796055465</v>
      </c>
      <c r="AB15" s="321">
        <v>18805</v>
      </c>
      <c r="AC15" s="1245">
        <f t="shared" si="9"/>
        <v>16.612190812720847</v>
      </c>
      <c r="AD15" s="321">
        <v>19554</v>
      </c>
      <c r="AE15" s="1246">
        <f t="shared" si="10"/>
        <v>103.98298324913586</v>
      </c>
    </row>
    <row r="16" spans="1:31" ht="19.2" customHeight="1">
      <c r="A16" s="1219" t="s">
        <v>2598</v>
      </c>
      <c r="B16" s="1220">
        <v>5988256</v>
      </c>
      <c r="C16" s="1221">
        <v>104.27086560098317</v>
      </c>
      <c r="D16" s="1220">
        <v>6599795</v>
      </c>
      <c r="E16" s="1221">
        <f t="shared" si="1"/>
        <v>110.21230555273522</v>
      </c>
      <c r="F16" s="1220">
        <v>6526971</v>
      </c>
      <c r="G16" s="1221">
        <f t="shared" si="2"/>
        <v>98.896571787457034</v>
      </c>
      <c r="H16" s="1220">
        <v>6651601</v>
      </c>
      <c r="I16" s="1221">
        <f t="shared" si="3"/>
        <v>101.90946152510867</v>
      </c>
      <c r="J16" s="1220">
        <v>6763715</v>
      </c>
      <c r="K16" s="1221">
        <f t="shared" si="4"/>
        <v>101.6855190201577</v>
      </c>
      <c r="L16" s="1220">
        <v>6637078</v>
      </c>
      <c r="M16" s="1221">
        <f t="shared" si="0"/>
        <v>98.127700531438705</v>
      </c>
      <c r="N16" s="1220">
        <v>6626802</v>
      </c>
      <c r="O16" s="1221">
        <f t="shared" si="12"/>
        <v>99.845172830573929</v>
      </c>
      <c r="P16" s="1220">
        <v>6334360</v>
      </c>
      <c r="Q16" s="1221">
        <f t="shared" si="13"/>
        <v>95.58698147311479</v>
      </c>
      <c r="R16" s="1220">
        <v>5900402</v>
      </c>
      <c r="S16" s="1221">
        <f t="shared" si="5"/>
        <v>93.14914213906377</v>
      </c>
      <c r="T16" s="1220">
        <v>5751605</v>
      </c>
      <c r="U16" s="1221">
        <f t="shared" si="6"/>
        <v>97.478188774256409</v>
      </c>
      <c r="V16" s="1243">
        <v>5758150</v>
      </c>
      <c r="W16" s="1244">
        <f t="shared" si="7"/>
        <v>100.11379432349752</v>
      </c>
      <c r="X16" s="333">
        <v>5981632</v>
      </c>
      <c r="Y16" s="1244">
        <f t="shared" si="8"/>
        <v>103.88114238079939</v>
      </c>
      <c r="Z16" s="333">
        <v>6492235</v>
      </c>
      <c r="AA16" s="1244">
        <f t="shared" si="11"/>
        <v>108.53618209879845</v>
      </c>
      <c r="AB16" s="321">
        <v>6244232</v>
      </c>
      <c r="AC16" s="1245">
        <f t="shared" si="9"/>
        <v>96.180005806937046</v>
      </c>
      <c r="AD16" s="321">
        <v>6198911</v>
      </c>
      <c r="AE16" s="1246">
        <f t="shared" si="10"/>
        <v>99.274194168314054</v>
      </c>
    </row>
    <row r="17" spans="1:31" ht="19.2" customHeight="1">
      <c r="A17" s="1222" t="s">
        <v>2599</v>
      </c>
      <c r="B17" s="1220">
        <v>5754</v>
      </c>
      <c r="C17" s="1221">
        <v>101.37420718816068</v>
      </c>
      <c r="D17" s="1220">
        <v>5576</v>
      </c>
      <c r="E17" s="1221">
        <f t="shared" si="1"/>
        <v>96.906499826207863</v>
      </c>
      <c r="F17" s="1220">
        <v>5300</v>
      </c>
      <c r="G17" s="1221">
        <f t="shared" si="2"/>
        <v>95.050215208034444</v>
      </c>
      <c r="H17" s="1220">
        <v>4990</v>
      </c>
      <c r="I17" s="1221">
        <f t="shared" si="3"/>
        <v>94.15094339622641</v>
      </c>
      <c r="J17" s="1220">
        <v>4739</v>
      </c>
      <c r="K17" s="1221">
        <f t="shared" si="4"/>
        <v>94.969939879759522</v>
      </c>
      <c r="L17" s="1220">
        <v>4206</v>
      </c>
      <c r="M17" s="1221">
        <f t="shared" si="0"/>
        <v>88.752901456003372</v>
      </c>
      <c r="N17" s="1220">
        <v>4488</v>
      </c>
      <c r="O17" s="1221">
        <f t="shared" si="12"/>
        <v>106.70470756062767</v>
      </c>
      <c r="P17" s="1220">
        <v>4248</v>
      </c>
      <c r="Q17" s="1221">
        <f t="shared" si="13"/>
        <v>94.652406417112303</v>
      </c>
      <c r="R17" s="1220">
        <v>3958</v>
      </c>
      <c r="S17" s="1221">
        <f t="shared" si="5"/>
        <v>93.173258003766477</v>
      </c>
      <c r="T17" s="1220">
        <v>3664</v>
      </c>
      <c r="U17" s="1221">
        <f>T17/R17*100</f>
        <v>92.572006063668525</v>
      </c>
      <c r="V17" s="1243">
        <v>3345</v>
      </c>
      <c r="W17" s="1244">
        <f t="shared" si="7"/>
        <v>91.293668122270745</v>
      </c>
      <c r="X17" s="333">
        <v>3415</v>
      </c>
      <c r="Y17" s="1244">
        <f t="shared" si="8"/>
        <v>102.09267563527654</v>
      </c>
      <c r="Z17" s="333">
        <v>3178</v>
      </c>
      <c r="AA17" s="1244">
        <f t="shared" si="11"/>
        <v>93.060029282576863</v>
      </c>
      <c r="AB17" s="321">
        <v>2532</v>
      </c>
      <c r="AC17" s="1245">
        <f t="shared" si="9"/>
        <v>79.672750157331649</v>
      </c>
      <c r="AD17" s="321">
        <v>2283</v>
      </c>
      <c r="AE17" s="1246">
        <f t="shared" si="10"/>
        <v>90.165876777251185</v>
      </c>
    </row>
    <row r="18" spans="1:31" ht="19.2" customHeight="1">
      <c r="A18" s="1219" t="s">
        <v>2600</v>
      </c>
      <c r="B18" s="1220">
        <v>243020</v>
      </c>
      <c r="C18" s="1221">
        <v>104.55711015884488</v>
      </c>
      <c r="D18" s="1220">
        <v>208719</v>
      </c>
      <c r="E18" s="1221">
        <f t="shared" si="1"/>
        <v>85.88552382519957</v>
      </c>
      <c r="F18" s="1220">
        <v>201170</v>
      </c>
      <c r="G18" s="1221">
        <f t="shared" si="2"/>
        <v>96.38317546557812</v>
      </c>
      <c r="H18" s="1220">
        <v>190115</v>
      </c>
      <c r="I18" s="1221">
        <f t="shared" si="3"/>
        <v>94.504647810309677</v>
      </c>
      <c r="J18" s="1220">
        <v>195450</v>
      </c>
      <c r="K18" s="1221">
        <f t="shared" si="4"/>
        <v>102.80619624963838</v>
      </c>
      <c r="L18" s="1220">
        <v>185385</v>
      </c>
      <c r="M18" s="1221">
        <f t="shared" si="0"/>
        <v>94.850345356868758</v>
      </c>
      <c r="N18" s="1220">
        <v>61504</v>
      </c>
      <c r="O18" s="1221">
        <f t="shared" si="12"/>
        <v>33.17636270464169</v>
      </c>
      <c r="P18" s="1220">
        <v>58850</v>
      </c>
      <c r="Q18" s="1221">
        <f t="shared" si="13"/>
        <v>95.684833506763795</v>
      </c>
      <c r="R18" s="1220">
        <v>63484</v>
      </c>
      <c r="S18" s="1221">
        <f t="shared" si="5"/>
        <v>107.87425658453695</v>
      </c>
      <c r="T18" s="1220">
        <v>58790</v>
      </c>
      <c r="U18" s="1221">
        <f t="shared" si="6"/>
        <v>92.60601096339235</v>
      </c>
      <c r="V18" s="1243">
        <v>61008</v>
      </c>
      <c r="W18" s="1244">
        <f t="shared" si="7"/>
        <v>103.77275046776661</v>
      </c>
      <c r="X18" s="333">
        <v>55010</v>
      </c>
      <c r="Y18" s="1244">
        <f t="shared" si="8"/>
        <v>90.168502491476531</v>
      </c>
      <c r="Z18" s="333">
        <v>58013</v>
      </c>
      <c r="AA18" s="1244">
        <f t="shared" si="11"/>
        <v>105.45900745319032</v>
      </c>
      <c r="AB18" s="321">
        <v>62773</v>
      </c>
      <c r="AC18" s="1245">
        <f t="shared" si="9"/>
        <v>108.20505748711496</v>
      </c>
      <c r="AD18" s="321">
        <v>71164</v>
      </c>
      <c r="AE18" s="1246">
        <f t="shared" si="10"/>
        <v>113.36721201790579</v>
      </c>
    </row>
    <row r="19" spans="1:31" ht="19.2" customHeight="1">
      <c r="A19" s="1219" t="s">
        <v>2601</v>
      </c>
      <c r="B19" s="1220">
        <v>213837</v>
      </c>
      <c r="C19" s="1221">
        <v>99.011445928175874</v>
      </c>
      <c r="D19" s="1220">
        <v>216537</v>
      </c>
      <c r="E19" s="1221">
        <f t="shared" si="1"/>
        <v>101.26264397648677</v>
      </c>
      <c r="F19" s="1220">
        <v>270682</v>
      </c>
      <c r="G19" s="1221">
        <f t="shared" si="2"/>
        <v>125.00496450952956</v>
      </c>
      <c r="H19" s="1220">
        <v>298778</v>
      </c>
      <c r="I19" s="1221">
        <f t="shared" si="3"/>
        <v>110.37970755351299</v>
      </c>
      <c r="J19" s="1220">
        <v>294905</v>
      </c>
      <c r="K19" s="1221">
        <f t="shared" si="4"/>
        <v>98.703719818728288</v>
      </c>
      <c r="L19" s="1220">
        <v>292027</v>
      </c>
      <c r="M19" s="1221">
        <f t="shared" si="0"/>
        <v>99.024092504365811</v>
      </c>
      <c r="N19" s="1220">
        <v>387695</v>
      </c>
      <c r="O19" s="1221">
        <f t="shared" si="12"/>
        <v>132.75998452197913</v>
      </c>
      <c r="P19" s="1220">
        <v>386498</v>
      </c>
      <c r="Q19" s="1221">
        <f t="shared" si="13"/>
        <v>99.691252144082327</v>
      </c>
      <c r="R19" s="1220">
        <v>392376</v>
      </c>
      <c r="S19" s="1221">
        <f t="shared" si="5"/>
        <v>101.5208358128632</v>
      </c>
      <c r="T19" s="1220">
        <v>361118</v>
      </c>
      <c r="U19" s="1221">
        <f t="shared" si="6"/>
        <v>92.033661589903559</v>
      </c>
      <c r="V19" s="1243">
        <v>310372</v>
      </c>
      <c r="W19" s="1244">
        <f t="shared" si="7"/>
        <v>85.947529616358082</v>
      </c>
      <c r="X19" s="333">
        <v>271139</v>
      </c>
      <c r="Y19" s="1244">
        <f t="shared" si="8"/>
        <v>87.359362313610774</v>
      </c>
      <c r="Z19" s="333">
        <v>264886</v>
      </c>
      <c r="AA19" s="1244">
        <f t="shared" si="11"/>
        <v>97.693802809629005</v>
      </c>
      <c r="AB19" s="321">
        <v>270539</v>
      </c>
      <c r="AC19" s="1245">
        <f t="shared" si="9"/>
        <v>102.13412562385329</v>
      </c>
      <c r="AD19" s="321">
        <v>279404</v>
      </c>
      <c r="AE19" s="1246">
        <f t="shared" si="10"/>
        <v>103.27679188582792</v>
      </c>
    </row>
    <row r="20" spans="1:31" ht="19.2" customHeight="1">
      <c r="A20" s="1219" t="s">
        <v>2602</v>
      </c>
      <c r="B20" s="1220">
        <v>3096788</v>
      </c>
      <c r="C20" s="1221">
        <v>361.94893096786183</v>
      </c>
      <c r="D20" s="1220">
        <v>2753647</v>
      </c>
      <c r="E20" s="1221">
        <f t="shared" si="1"/>
        <v>88.91945460909821</v>
      </c>
      <c r="F20" s="1220">
        <v>1284603</v>
      </c>
      <c r="G20" s="1221">
        <f t="shared" si="2"/>
        <v>46.650968697149636</v>
      </c>
      <c r="H20" s="1220">
        <v>1167222</v>
      </c>
      <c r="I20" s="1221">
        <f t="shared" si="3"/>
        <v>90.862468793860828</v>
      </c>
      <c r="J20" s="1220">
        <v>1242209</v>
      </c>
      <c r="K20" s="1221">
        <f t="shared" si="4"/>
        <v>106.42439912887181</v>
      </c>
      <c r="L20" s="1220">
        <v>1303394</v>
      </c>
      <c r="M20" s="1221">
        <f t="shared" si="0"/>
        <v>104.92549965424499</v>
      </c>
      <c r="N20" s="1220">
        <v>1396932</v>
      </c>
      <c r="O20" s="1221">
        <f t="shared" si="12"/>
        <v>107.17649459794967</v>
      </c>
      <c r="P20" s="1220">
        <v>1336276</v>
      </c>
      <c r="Q20" s="1221">
        <f t="shared" si="13"/>
        <v>95.657913198351821</v>
      </c>
      <c r="R20" s="1220">
        <v>1271571</v>
      </c>
      <c r="S20" s="1221">
        <f t="shared" si="5"/>
        <v>95.157811709557009</v>
      </c>
      <c r="T20" s="1220">
        <v>1202469</v>
      </c>
      <c r="U20" s="1221">
        <f t="shared" si="6"/>
        <v>94.565620008634994</v>
      </c>
      <c r="V20" s="1243">
        <v>1568465</v>
      </c>
      <c r="W20" s="1244">
        <f t="shared" si="7"/>
        <v>130.43704245182204</v>
      </c>
      <c r="X20" s="333">
        <v>4602366</v>
      </c>
      <c r="Y20" s="1244">
        <f t="shared" si="8"/>
        <v>293.43122097082176</v>
      </c>
      <c r="Z20" s="333">
        <v>2348884</v>
      </c>
      <c r="AA20" s="1244">
        <f t="shared" si="11"/>
        <v>51.036445167550781</v>
      </c>
      <c r="AB20" s="321">
        <v>2208927</v>
      </c>
      <c r="AC20" s="1245">
        <f t="shared" si="9"/>
        <v>94.041553350442157</v>
      </c>
      <c r="AD20" s="321">
        <v>1742739</v>
      </c>
      <c r="AE20" s="1246">
        <f t="shared" si="10"/>
        <v>78.895273587583475</v>
      </c>
    </row>
    <row r="21" spans="1:31" ht="19.2" customHeight="1">
      <c r="A21" s="1219" t="s">
        <v>2603</v>
      </c>
      <c r="B21" s="1220">
        <v>696370</v>
      </c>
      <c r="C21" s="1221">
        <v>128.72332166319765</v>
      </c>
      <c r="D21" s="1220">
        <v>1224395</v>
      </c>
      <c r="E21" s="1221">
        <f t="shared" si="1"/>
        <v>175.82535146545661</v>
      </c>
      <c r="F21" s="1220">
        <v>774415</v>
      </c>
      <c r="G21" s="1221">
        <f t="shared" si="2"/>
        <v>63.248788177018035</v>
      </c>
      <c r="H21" s="1220">
        <v>750868</v>
      </c>
      <c r="I21" s="1221">
        <f t="shared" si="3"/>
        <v>96.959382243370811</v>
      </c>
      <c r="J21" s="1220">
        <v>751414</v>
      </c>
      <c r="K21" s="1221">
        <f t="shared" si="4"/>
        <v>100.07271584353042</v>
      </c>
      <c r="L21" s="1220">
        <v>864898</v>
      </c>
      <c r="M21" s="1221">
        <f t="shared" si="0"/>
        <v>115.10272632663219</v>
      </c>
      <c r="N21" s="1220">
        <v>919513</v>
      </c>
      <c r="O21" s="1221">
        <f t="shared" si="12"/>
        <v>106.31461744621909</v>
      </c>
      <c r="P21" s="1220">
        <v>942189</v>
      </c>
      <c r="Q21" s="1221">
        <f t="shared" si="13"/>
        <v>102.4660880270317</v>
      </c>
      <c r="R21" s="1220">
        <v>843313</v>
      </c>
      <c r="S21" s="1221">
        <f t="shared" si="5"/>
        <v>89.505714883107316</v>
      </c>
      <c r="T21" s="1220">
        <v>849646</v>
      </c>
      <c r="U21" s="1221">
        <f t="shared" si="6"/>
        <v>100.75096672291308</v>
      </c>
      <c r="V21" s="1243">
        <v>887357</v>
      </c>
      <c r="W21" s="1244">
        <f t="shared" si="7"/>
        <v>104.4384367136431</v>
      </c>
      <c r="X21" s="333">
        <v>937626</v>
      </c>
      <c r="Y21" s="1244">
        <f t="shared" si="8"/>
        <v>105.66502546325773</v>
      </c>
      <c r="Z21" s="333">
        <v>1029766</v>
      </c>
      <c r="AA21" s="1244">
        <f t="shared" si="11"/>
        <v>109.82694592513434</v>
      </c>
      <c r="AB21" s="321">
        <v>1072111</v>
      </c>
      <c r="AC21" s="1245">
        <f t="shared" si="9"/>
        <v>104.11209925361685</v>
      </c>
      <c r="AD21" s="321">
        <v>991009</v>
      </c>
      <c r="AE21" s="1246">
        <f t="shared" si="10"/>
        <v>92.435298210726316</v>
      </c>
    </row>
    <row r="22" spans="1:31" ht="19.2" customHeight="1">
      <c r="A22" s="1219" t="s">
        <v>2604</v>
      </c>
      <c r="B22" s="1220">
        <v>31958</v>
      </c>
      <c r="C22" s="1221">
        <v>108.81541761721543</v>
      </c>
      <c r="D22" s="1220">
        <v>26364</v>
      </c>
      <c r="E22" s="1221">
        <f t="shared" si="1"/>
        <v>82.49577570561361</v>
      </c>
      <c r="F22" s="1220">
        <v>33048</v>
      </c>
      <c r="G22" s="1221">
        <f t="shared" si="2"/>
        <v>125.35275375512063</v>
      </c>
      <c r="H22" s="1220">
        <v>25778</v>
      </c>
      <c r="I22" s="1221">
        <f t="shared" si="3"/>
        <v>78.001694504962487</v>
      </c>
      <c r="J22" s="1220">
        <v>105220</v>
      </c>
      <c r="K22" s="1221">
        <f t="shared" si="4"/>
        <v>408.17751571107141</v>
      </c>
      <c r="L22" s="1220">
        <v>33743</v>
      </c>
      <c r="M22" s="1221">
        <f t="shared" si="0"/>
        <v>32.068998289298612</v>
      </c>
      <c r="N22" s="1220">
        <v>33473</v>
      </c>
      <c r="O22" s="1221">
        <f t="shared" si="12"/>
        <v>99.199834039652671</v>
      </c>
      <c r="P22" s="1220">
        <v>28888</v>
      </c>
      <c r="Q22" s="1221">
        <f t="shared" si="13"/>
        <v>86.302392973441272</v>
      </c>
      <c r="R22" s="1220">
        <v>23528</v>
      </c>
      <c r="S22" s="1221">
        <f t="shared" si="5"/>
        <v>81.445582941013569</v>
      </c>
      <c r="T22" s="1220">
        <v>22881</v>
      </c>
      <c r="U22" s="1221">
        <f t="shared" si="6"/>
        <v>97.250085005100303</v>
      </c>
      <c r="V22" s="1243">
        <v>40686</v>
      </c>
      <c r="W22" s="1244">
        <f t="shared" si="7"/>
        <v>177.8156549101875</v>
      </c>
      <c r="X22" s="333">
        <v>29261</v>
      </c>
      <c r="Y22" s="1244">
        <f t="shared" si="8"/>
        <v>71.919087646856411</v>
      </c>
      <c r="Z22" s="333">
        <v>29722</v>
      </c>
      <c r="AA22" s="1244">
        <f t="shared" si="11"/>
        <v>101.57547588940912</v>
      </c>
      <c r="AB22" s="321">
        <v>31229</v>
      </c>
      <c r="AC22" s="1245">
        <f t="shared" si="9"/>
        <v>105.0703182827535</v>
      </c>
      <c r="AD22" s="321">
        <v>27053</v>
      </c>
      <c r="AE22" s="1246">
        <f t="shared" si="10"/>
        <v>86.627813890934718</v>
      </c>
    </row>
    <row r="23" spans="1:31" ht="19.2" customHeight="1">
      <c r="A23" s="1219" t="s">
        <v>2605</v>
      </c>
      <c r="B23" s="1220">
        <v>6067</v>
      </c>
      <c r="C23" s="1221">
        <v>240.84954346963082</v>
      </c>
      <c r="D23" s="1220">
        <v>4533</v>
      </c>
      <c r="E23" s="1221">
        <f t="shared" si="1"/>
        <v>74.715674962914122</v>
      </c>
      <c r="F23" s="1220">
        <v>14177</v>
      </c>
      <c r="G23" s="1221">
        <f t="shared" si="2"/>
        <v>312.75093756893887</v>
      </c>
      <c r="H23" s="1220">
        <v>2188</v>
      </c>
      <c r="I23" s="1221">
        <f t="shared" si="3"/>
        <v>15.433448543415389</v>
      </c>
      <c r="J23" s="1220">
        <v>2447</v>
      </c>
      <c r="K23" s="1221">
        <f t="shared" si="4"/>
        <v>111.83729433272396</v>
      </c>
      <c r="L23" s="1220">
        <v>40762</v>
      </c>
      <c r="M23" s="1221">
        <f t="shared" si="0"/>
        <v>1665.7948508377604</v>
      </c>
      <c r="N23" s="1220">
        <v>94528</v>
      </c>
      <c r="O23" s="1221">
        <f t="shared" si="12"/>
        <v>231.90226191060299</v>
      </c>
      <c r="P23" s="1220">
        <v>73089</v>
      </c>
      <c r="Q23" s="1221">
        <f t="shared" si="13"/>
        <v>77.319947528774549</v>
      </c>
      <c r="R23" s="1220">
        <v>755528</v>
      </c>
      <c r="S23" s="1221">
        <f t="shared" si="5"/>
        <v>1033.7095869419475</v>
      </c>
      <c r="T23" s="1220">
        <v>32444</v>
      </c>
      <c r="U23" s="1221">
        <f t="shared" si="6"/>
        <v>4.294215436092375</v>
      </c>
      <c r="V23" s="1243">
        <v>38796</v>
      </c>
      <c r="W23" s="1244">
        <f t="shared" si="7"/>
        <v>119.57835038836149</v>
      </c>
      <c r="X23" s="333">
        <v>128805</v>
      </c>
      <c r="Y23" s="1244">
        <f t="shared" si="8"/>
        <v>332.00587689452516</v>
      </c>
      <c r="Z23" s="333">
        <v>130791</v>
      </c>
      <c r="AA23" s="1244">
        <f t="shared" si="11"/>
        <v>101.54186561080702</v>
      </c>
      <c r="AB23" s="321">
        <v>133844</v>
      </c>
      <c r="AC23" s="1245">
        <f t="shared" si="9"/>
        <v>102.33425847344235</v>
      </c>
      <c r="AD23" s="321">
        <v>172160</v>
      </c>
      <c r="AE23" s="1246">
        <f t="shared" si="10"/>
        <v>128.62735722184036</v>
      </c>
    </row>
    <row r="24" spans="1:31" ht="19.2" customHeight="1">
      <c r="A24" s="1219" t="s">
        <v>2606</v>
      </c>
      <c r="B24" s="1220">
        <v>341485</v>
      </c>
      <c r="C24" s="1225">
        <v>57.629638630261361</v>
      </c>
      <c r="D24" s="1220">
        <v>70126</v>
      </c>
      <c r="E24" s="1225">
        <f t="shared" si="1"/>
        <v>20.535601856596923</v>
      </c>
      <c r="F24" s="1220">
        <v>527167</v>
      </c>
      <c r="G24" s="1225">
        <f t="shared" si="2"/>
        <v>751.74257764595154</v>
      </c>
      <c r="H24" s="1220">
        <v>173725</v>
      </c>
      <c r="I24" s="1225">
        <f t="shared" si="3"/>
        <v>32.954452763545518</v>
      </c>
      <c r="J24" s="1220">
        <v>202710</v>
      </c>
      <c r="K24" s="1225">
        <f t="shared" si="4"/>
        <v>116.68441502374442</v>
      </c>
      <c r="L24" s="1220">
        <v>285063</v>
      </c>
      <c r="M24" s="1225">
        <f t="shared" si="0"/>
        <v>140.62601746337131</v>
      </c>
      <c r="N24" s="1220">
        <v>526161</v>
      </c>
      <c r="O24" s="1225">
        <f t="shared" si="12"/>
        <v>184.57709348459815</v>
      </c>
      <c r="P24" s="1220">
        <v>713148</v>
      </c>
      <c r="Q24" s="1221">
        <f t="shared" si="13"/>
        <v>135.53798172042397</v>
      </c>
      <c r="R24" s="1220">
        <v>456984</v>
      </c>
      <c r="S24" s="1221">
        <f t="shared" si="5"/>
        <v>64.07982634740614</v>
      </c>
      <c r="T24" s="1220">
        <v>1026195</v>
      </c>
      <c r="U24" s="1221">
        <f t="shared" si="6"/>
        <v>224.55819022110182</v>
      </c>
      <c r="V24" s="1243">
        <v>491140</v>
      </c>
      <c r="W24" s="1244">
        <f t="shared" si="7"/>
        <v>47.860299455756461</v>
      </c>
      <c r="X24" s="333">
        <v>632135</v>
      </c>
      <c r="Y24" s="1244">
        <f t="shared" si="8"/>
        <v>128.70770045200962</v>
      </c>
      <c r="Z24" s="333">
        <v>356076</v>
      </c>
      <c r="AA24" s="1244">
        <f t="shared" si="11"/>
        <v>56.329106915453188</v>
      </c>
      <c r="AB24" s="321">
        <v>255656</v>
      </c>
      <c r="AC24" s="1245">
        <f t="shared" si="9"/>
        <v>71.79815544996012</v>
      </c>
      <c r="AD24" s="321">
        <v>673204</v>
      </c>
      <c r="AE24" s="1246">
        <f t="shared" si="10"/>
        <v>263.32415433238413</v>
      </c>
    </row>
    <row r="25" spans="1:31" ht="19.2" customHeight="1">
      <c r="A25" s="1219" t="s">
        <v>2607</v>
      </c>
      <c r="B25" s="1220">
        <v>488990</v>
      </c>
      <c r="C25" s="1221">
        <v>144.3184870154976</v>
      </c>
      <c r="D25" s="1220">
        <v>636528</v>
      </c>
      <c r="E25" s="1221">
        <f t="shared" si="1"/>
        <v>130.17198715720158</v>
      </c>
      <c r="F25" s="1220">
        <v>736941</v>
      </c>
      <c r="G25" s="1221">
        <f t="shared" si="2"/>
        <v>115.77511122841415</v>
      </c>
      <c r="H25" s="1220">
        <v>823079</v>
      </c>
      <c r="I25" s="1221">
        <f t="shared" si="3"/>
        <v>111.6885883673184</v>
      </c>
      <c r="J25" s="1220">
        <v>757461</v>
      </c>
      <c r="K25" s="1221">
        <f t="shared" si="4"/>
        <v>92.027739743086627</v>
      </c>
      <c r="L25" s="1220">
        <v>619377</v>
      </c>
      <c r="M25" s="1221">
        <f t="shared" si="0"/>
        <v>81.770150542404167</v>
      </c>
      <c r="N25" s="1220">
        <v>852858</v>
      </c>
      <c r="O25" s="1221">
        <f t="shared" si="12"/>
        <v>137.69610431126762</v>
      </c>
      <c r="P25" s="1220">
        <v>665224</v>
      </c>
      <c r="Q25" s="1221">
        <f t="shared" si="13"/>
        <v>77.999385595257351</v>
      </c>
      <c r="R25" s="1220">
        <v>753414</v>
      </c>
      <c r="S25" s="1221">
        <f t="shared" si="5"/>
        <v>113.25718855603526</v>
      </c>
      <c r="T25" s="1220">
        <v>520130</v>
      </c>
      <c r="U25" s="1221">
        <f t="shared" si="6"/>
        <v>69.036412915077236</v>
      </c>
      <c r="V25" s="1243">
        <v>800051</v>
      </c>
      <c r="W25" s="1244">
        <f t="shared" si="7"/>
        <v>153.81750716167113</v>
      </c>
      <c r="X25" s="333">
        <v>637460</v>
      </c>
      <c r="Y25" s="1244">
        <f t="shared" si="8"/>
        <v>79.677420564439018</v>
      </c>
      <c r="Z25" s="333">
        <v>780316</v>
      </c>
      <c r="AA25" s="1244">
        <f t="shared" si="11"/>
        <v>122.41019044332194</v>
      </c>
      <c r="AB25" s="321">
        <v>995047</v>
      </c>
      <c r="AC25" s="1245">
        <f t="shared" si="9"/>
        <v>127.51846687752142</v>
      </c>
      <c r="AD25" s="321">
        <v>811340</v>
      </c>
      <c r="AE25" s="1246">
        <f t="shared" si="10"/>
        <v>81.537857005749487</v>
      </c>
    </row>
    <row r="26" spans="1:31" ht="19.2" customHeight="1">
      <c r="A26" s="1219" t="s">
        <v>2608</v>
      </c>
      <c r="B26" s="1220">
        <v>1038161</v>
      </c>
      <c r="C26" s="1221">
        <v>111.56951164205282</v>
      </c>
      <c r="D26" s="1220">
        <v>915963</v>
      </c>
      <c r="E26" s="1221">
        <f t="shared" si="1"/>
        <v>88.229378680185448</v>
      </c>
      <c r="F26" s="1220">
        <v>945234</v>
      </c>
      <c r="G26" s="1221">
        <f t="shared" si="2"/>
        <v>103.19565309952476</v>
      </c>
      <c r="H26" s="1220">
        <v>902446</v>
      </c>
      <c r="I26" s="1221">
        <f t="shared" si="3"/>
        <v>95.473290211735929</v>
      </c>
      <c r="J26" s="1220">
        <v>979002</v>
      </c>
      <c r="K26" s="1221">
        <f t="shared" si="4"/>
        <v>108.48316685984535</v>
      </c>
      <c r="L26" s="1220">
        <v>1000262</v>
      </c>
      <c r="M26" s="1221">
        <f t="shared" si="0"/>
        <v>102.17159924085956</v>
      </c>
      <c r="N26" s="1220">
        <v>1080485</v>
      </c>
      <c r="O26" s="1221">
        <f t="shared" si="12"/>
        <v>108.02019870793853</v>
      </c>
      <c r="P26" s="1220">
        <v>1046095</v>
      </c>
      <c r="Q26" s="1221">
        <f t="shared" si="13"/>
        <v>96.817170067145781</v>
      </c>
      <c r="R26" s="1220">
        <v>1155878</v>
      </c>
      <c r="S26" s="1221">
        <f t="shared" si="5"/>
        <v>110.49455355393152</v>
      </c>
      <c r="T26" s="1220">
        <v>1078100</v>
      </c>
      <c r="U26" s="1221">
        <f t="shared" si="6"/>
        <v>93.27108916338922</v>
      </c>
      <c r="V26" s="1243">
        <v>1259272</v>
      </c>
      <c r="W26" s="1244">
        <f t="shared" si="7"/>
        <v>116.80474909563121</v>
      </c>
      <c r="X26" s="333">
        <v>1385131</v>
      </c>
      <c r="Y26" s="1244">
        <f t="shared" si="8"/>
        <v>109.9945841724425</v>
      </c>
      <c r="Z26" s="333">
        <v>1417302</v>
      </c>
      <c r="AA26" s="1244">
        <f t="shared" si="11"/>
        <v>102.32259620209207</v>
      </c>
      <c r="AB26" s="321">
        <v>1411396</v>
      </c>
      <c r="AC26" s="1245">
        <f t="shared" si="9"/>
        <v>99.583292763292505</v>
      </c>
      <c r="AD26" s="321">
        <v>1449656</v>
      </c>
      <c r="AE26" s="1246">
        <f t="shared" si="10"/>
        <v>102.7107913016616</v>
      </c>
    </row>
    <row r="27" spans="1:31" ht="19.2" customHeight="1">
      <c r="A27" s="1227" t="s">
        <v>2609</v>
      </c>
      <c r="B27" s="1228">
        <v>1734259</v>
      </c>
      <c r="C27" s="1229">
        <v>131.05066686817545</v>
      </c>
      <c r="D27" s="1228">
        <v>1732388</v>
      </c>
      <c r="E27" s="1229">
        <f t="shared" si="1"/>
        <v>99.892115306883227</v>
      </c>
      <c r="F27" s="1228">
        <v>960704</v>
      </c>
      <c r="G27" s="1229">
        <f t="shared" si="2"/>
        <v>55.455475332315849</v>
      </c>
      <c r="H27" s="1228">
        <v>1428410</v>
      </c>
      <c r="I27" s="1229">
        <f t="shared" si="3"/>
        <v>148.68367363933115</v>
      </c>
      <c r="J27" s="1228">
        <v>1183460</v>
      </c>
      <c r="K27" s="1229">
        <f t="shared" si="4"/>
        <v>82.851562226531598</v>
      </c>
      <c r="L27" s="1228">
        <v>971042</v>
      </c>
      <c r="M27" s="1229">
        <f t="shared" si="0"/>
        <v>82.051104388825976</v>
      </c>
      <c r="N27" s="1228">
        <v>1080365</v>
      </c>
      <c r="O27" s="1229">
        <f t="shared" si="12"/>
        <v>111.25831838375684</v>
      </c>
      <c r="P27" s="1228">
        <v>1758998</v>
      </c>
      <c r="Q27" s="1221">
        <f t="shared" si="13"/>
        <v>162.81515969140059</v>
      </c>
      <c r="R27" s="1220">
        <v>2755291</v>
      </c>
      <c r="S27" s="1221">
        <f t="shared" si="5"/>
        <v>156.63980288778043</v>
      </c>
      <c r="T27" s="1220">
        <v>1228248</v>
      </c>
      <c r="U27" s="1221">
        <f t="shared" si="6"/>
        <v>44.577795956942481</v>
      </c>
      <c r="V27" s="1243">
        <v>1295517</v>
      </c>
      <c r="W27" s="1244">
        <f t="shared" si="7"/>
        <v>105.47682552709226</v>
      </c>
      <c r="X27" s="333">
        <v>803355</v>
      </c>
      <c r="Y27" s="1244">
        <f t="shared" si="8"/>
        <v>62.010378868050367</v>
      </c>
      <c r="Z27" s="333">
        <v>809572</v>
      </c>
      <c r="AA27" s="1244">
        <f t="shared" si="11"/>
        <v>100.77387954266794</v>
      </c>
      <c r="AB27" s="321">
        <v>492543</v>
      </c>
      <c r="AC27" s="1245">
        <f t="shared" si="9"/>
        <v>60.839925293858975</v>
      </c>
      <c r="AD27" s="321">
        <v>760156</v>
      </c>
      <c r="AE27" s="1246">
        <f t="shared" si="10"/>
        <v>154.33292118657661</v>
      </c>
    </row>
    <row r="28" spans="1:31" ht="19.2" customHeight="1" thickBot="1">
      <c r="A28" s="1230" t="s">
        <v>2610</v>
      </c>
      <c r="B28" s="1231">
        <f>SUM(B5:B27)</f>
        <v>18797655</v>
      </c>
      <c r="C28" s="1232">
        <v>116.9133888376327</v>
      </c>
      <c r="D28" s="1231">
        <f>SUM(D5:D27)</f>
        <v>19416120</v>
      </c>
      <c r="E28" s="1232">
        <f t="shared" si="1"/>
        <v>103.29011783650674</v>
      </c>
      <c r="F28" s="1231">
        <f>SUM(F5:F27)</f>
        <v>17120363</v>
      </c>
      <c r="G28" s="1232">
        <f t="shared" si="2"/>
        <v>88.176025900128352</v>
      </c>
      <c r="H28" s="1231">
        <f>SUM(H5:H27)</f>
        <v>17093949</v>
      </c>
      <c r="I28" s="1232">
        <f t="shared" si="3"/>
        <v>99.845715888150266</v>
      </c>
      <c r="J28" s="1231">
        <f>SUM(J5:J27)</f>
        <v>17165909</v>
      </c>
      <c r="K28" s="1232">
        <f t="shared" si="4"/>
        <v>100.42096767692475</v>
      </c>
      <c r="L28" s="1231">
        <f>+SUM(L5:L27)</f>
        <v>17010145</v>
      </c>
      <c r="M28" s="1232">
        <f t="shared" si="0"/>
        <v>99.092596844128678</v>
      </c>
      <c r="N28" s="1231">
        <f>SUM(N5:N27)</f>
        <v>18057090</v>
      </c>
      <c r="O28" s="1232">
        <f t="shared" si="12"/>
        <v>106.15482701646577</v>
      </c>
      <c r="P28" s="1231">
        <f>SUM(P5:P27)</f>
        <v>18300365</v>
      </c>
      <c r="Q28" s="1233">
        <f t="shared" si="13"/>
        <v>101.34725473484376</v>
      </c>
      <c r="R28" s="1234">
        <f>SUM(R5:R27)</f>
        <v>19474749</v>
      </c>
      <c r="S28" s="1233">
        <f t="shared" si="5"/>
        <v>106.41727091235612</v>
      </c>
      <c r="T28" s="1234">
        <f>SUM(T5:T27)</f>
        <v>17241552</v>
      </c>
      <c r="U28" s="1233">
        <f>T28/R28*100</f>
        <v>88.532858626316568</v>
      </c>
      <c r="V28" s="1250">
        <f>SUM(V5:V27)</f>
        <v>17672067</v>
      </c>
      <c r="W28" s="1251">
        <f>V28/T28*100</f>
        <v>102.4969619904287</v>
      </c>
      <c r="X28" s="1252">
        <f>SUM(X5:X27)</f>
        <v>20518774</v>
      </c>
      <c r="Y28" s="1251">
        <f>X28/V28*100</f>
        <v>116.1085118113235</v>
      </c>
      <c r="Z28" s="1253">
        <f>SUM(Z5:Z27)</f>
        <v>18981047</v>
      </c>
      <c r="AA28" s="1251">
        <f t="shared" si="11"/>
        <v>92.50575594818676</v>
      </c>
      <c r="AB28" s="337">
        <f>SUM(AB5:AB27)</f>
        <v>18516091</v>
      </c>
      <c r="AC28" s="1254">
        <f t="shared" si="9"/>
        <v>97.550419637020028</v>
      </c>
      <c r="AD28" s="337">
        <f>SUM(AD5:AD27)</f>
        <v>18618444</v>
      </c>
      <c r="AE28" s="1255">
        <f t="shared" si="10"/>
        <v>100.55277866154361</v>
      </c>
    </row>
    <row r="29" spans="1:31" ht="16.8" customHeight="1">
      <c r="A29" s="1201" t="s">
        <v>20</v>
      </c>
      <c r="B29" s="335"/>
      <c r="D29" s="335"/>
      <c r="F29" s="335"/>
      <c r="H29" s="335"/>
      <c r="J29" s="335"/>
      <c r="L29" s="335"/>
      <c r="N29" s="335"/>
      <c r="T29" s="335"/>
    </row>
  </sheetData>
  <mergeCells count="15">
    <mergeCell ref="Z2:AA2"/>
    <mergeCell ref="AB2:AC2"/>
    <mergeCell ref="AD2:AE2"/>
    <mergeCell ref="N2:O2"/>
    <mergeCell ref="P2:Q2"/>
    <mergeCell ref="R2:S2"/>
    <mergeCell ref="T2:U2"/>
    <mergeCell ref="V2:W2"/>
    <mergeCell ref="X2:Y2"/>
    <mergeCell ref="L2:M2"/>
    <mergeCell ref="B2:C2"/>
    <mergeCell ref="D2:E2"/>
    <mergeCell ref="F2:G2"/>
    <mergeCell ref="H2:I2"/>
    <mergeCell ref="J2:K2"/>
  </mergeCells>
  <phoneticPr fontId="4"/>
  <pageMargins left="0.7" right="0.7" top="0.75" bottom="0.75" header="0.3" footer="0.3"/>
  <pageSetup paperSize="9" scale="98" orientation="portrait" r:id="rId1"/>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597F9-F096-4550-8C15-16506F6F382F}">
  <sheetPr codeName="Sheet12"/>
  <dimension ref="A1:A10"/>
  <sheetViews>
    <sheetView workbookViewId="0"/>
  </sheetViews>
  <sheetFormatPr defaultRowHeight="18"/>
  <cols>
    <col min="1" max="1" width="78.69921875" style="695" customWidth="1"/>
  </cols>
  <sheetData>
    <row r="1" spans="1:1" s="1494" customFormat="1" ht="28.8" customHeight="1">
      <c r="A1" s="2083" t="s">
        <v>2337</v>
      </c>
    </row>
    <row r="3" spans="1:1">
      <c r="A3" s="695" t="s">
        <v>2338</v>
      </c>
    </row>
    <row r="4" spans="1:1" ht="36">
      <c r="A4" s="695" t="s">
        <v>2344</v>
      </c>
    </row>
    <row r="5" spans="1:1" ht="54">
      <c r="A5" s="695" t="s">
        <v>2339</v>
      </c>
    </row>
    <row r="6" spans="1:1" ht="36">
      <c r="A6" s="695" t="s">
        <v>2340</v>
      </c>
    </row>
    <row r="7" spans="1:1" ht="72">
      <c r="A7" s="695" t="s">
        <v>2342</v>
      </c>
    </row>
    <row r="8" spans="1:1" ht="36">
      <c r="A8" s="695" t="s">
        <v>2341</v>
      </c>
    </row>
    <row r="9" spans="1:1" ht="108">
      <c r="A9" s="695" t="s">
        <v>2343</v>
      </c>
    </row>
    <row r="10" spans="1:1">
      <c r="A10" s="695" t="s">
        <v>3420</v>
      </c>
    </row>
  </sheetData>
  <phoneticPr fontId="4"/>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0668-C765-453F-9042-5C1092587532}">
  <sheetPr codeName="Sheet91"/>
  <dimension ref="A1:AF18"/>
  <sheetViews>
    <sheetView zoomScaleNormal="100" workbookViewId="0"/>
  </sheetViews>
  <sheetFormatPr defaultColWidth="8.09765625" defaultRowHeight="17.25" customHeight="1"/>
  <cols>
    <col min="1" max="1" width="13" style="1235" customWidth="1"/>
    <col min="2" max="2" width="8.19921875" style="408" hidden="1" customWidth="1"/>
    <col min="3" max="3" width="5.5" style="1201" hidden="1" customWidth="1"/>
    <col min="4" max="4" width="8.19921875" style="408" hidden="1" customWidth="1"/>
    <col min="5" max="5" width="5.5" style="1201" hidden="1" customWidth="1"/>
    <col min="6" max="6" width="8.19921875" style="408" hidden="1" customWidth="1"/>
    <col min="7" max="7" width="5.5" style="1201" hidden="1" customWidth="1"/>
    <col min="8" max="8" width="8.296875" style="408" hidden="1" customWidth="1"/>
    <col min="9" max="9" width="5.09765625" style="1201" hidden="1" customWidth="1"/>
    <col min="10" max="10" width="8.296875" style="408" hidden="1" customWidth="1"/>
    <col min="11" max="11" width="5.09765625" style="1201" hidden="1" customWidth="1"/>
    <col min="12" max="12" width="8.296875" style="408" hidden="1" customWidth="1"/>
    <col min="13" max="13" width="5.19921875" style="1201" hidden="1" customWidth="1"/>
    <col min="14" max="14" width="9.19921875" style="408" bestFit="1" customWidth="1"/>
    <col min="15" max="15" width="5.19921875" style="1201" customWidth="1"/>
    <col min="16" max="16" width="9.19921875" style="1201" bestFit="1" customWidth="1"/>
    <col min="17" max="17" width="5.19921875" style="1201" customWidth="1"/>
    <col min="18" max="19" width="9.19921875" style="1201" bestFit="1" customWidth="1"/>
    <col min="20" max="20" width="9.19921875" style="408" bestFit="1" customWidth="1"/>
    <col min="21" max="21" width="4.796875" style="1201" customWidth="1"/>
    <col min="22" max="22" width="9.19921875" style="1201" bestFit="1" customWidth="1"/>
    <col min="23" max="23" width="4.796875" style="1201" customWidth="1"/>
    <col min="24" max="24" width="9.19921875" style="1201" bestFit="1" customWidth="1"/>
    <col min="25" max="25" width="6.09765625" style="1201" customWidth="1"/>
    <col min="26" max="26" width="9.19921875" style="1201" bestFit="1" customWidth="1"/>
    <col min="27" max="27" width="6.09765625" style="1201" customWidth="1"/>
    <col min="28" max="28" width="9.19921875" style="1201" bestFit="1" customWidth="1"/>
    <col min="29" max="29" width="6.09765625" style="1201" customWidth="1"/>
    <col min="30" max="30" width="9.19921875" style="1201" bestFit="1" customWidth="1"/>
    <col min="31" max="31" width="8.5" style="1201" customWidth="1"/>
    <col min="32" max="16384" width="8.09765625" style="1201"/>
  </cols>
  <sheetData>
    <row r="1" spans="1:32" ht="30" customHeight="1" thickBot="1">
      <c r="A1" s="1200" t="s">
        <v>2611</v>
      </c>
      <c r="T1" s="1256"/>
      <c r="U1" s="1257"/>
      <c r="V1" s="1271"/>
      <c r="W1" s="1271"/>
      <c r="X1" s="1271"/>
      <c r="Y1" s="1271"/>
      <c r="Z1" s="1271"/>
      <c r="AA1" s="1271"/>
      <c r="AB1" s="1271"/>
      <c r="AC1" s="1271"/>
      <c r="AD1" s="1271"/>
      <c r="AE1" s="1271"/>
    </row>
    <row r="2" spans="1:32" ht="19.8" customHeight="1">
      <c r="A2" s="1212" t="s">
        <v>2571</v>
      </c>
      <c r="B2" s="2387" t="s">
        <v>2612</v>
      </c>
      <c r="C2" s="2394"/>
      <c r="D2" s="2387" t="s">
        <v>1611</v>
      </c>
      <c r="E2" s="2394"/>
      <c r="F2" s="2387" t="s">
        <v>1662</v>
      </c>
      <c r="G2" s="2394"/>
      <c r="H2" s="2387" t="s">
        <v>2613</v>
      </c>
      <c r="I2" s="2394"/>
      <c r="J2" s="2387" t="s">
        <v>1557</v>
      </c>
      <c r="K2" s="2394"/>
      <c r="L2" s="2387" t="s">
        <v>1840</v>
      </c>
      <c r="M2" s="2394"/>
      <c r="N2" s="2387" t="s">
        <v>1831</v>
      </c>
      <c r="O2" s="2394"/>
      <c r="P2" s="2392" t="s">
        <v>2614</v>
      </c>
      <c r="Q2" s="2392"/>
      <c r="R2" s="2392" t="s">
        <v>2615</v>
      </c>
      <c r="S2" s="2392"/>
      <c r="T2" s="2387" t="s">
        <v>2616</v>
      </c>
      <c r="U2" s="2388"/>
      <c r="V2" s="2395" t="s">
        <v>1638</v>
      </c>
      <c r="W2" s="2393"/>
      <c r="X2" s="2389" t="s">
        <v>1059</v>
      </c>
      <c r="Y2" s="2389"/>
      <c r="Z2" s="2389" t="s">
        <v>2578</v>
      </c>
      <c r="AA2" s="2389"/>
      <c r="AB2" s="2389" t="s">
        <v>2579</v>
      </c>
      <c r="AC2" s="2389"/>
      <c r="AD2" s="2389" t="s">
        <v>2580</v>
      </c>
      <c r="AE2" s="2391"/>
    </row>
    <row r="3" spans="1:32" ht="19.8" customHeight="1">
      <c r="A3" s="1213" t="s">
        <v>2617</v>
      </c>
      <c r="B3" s="377" t="s">
        <v>2618</v>
      </c>
      <c r="C3" s="1215" t="s">
        <v>2583</v>
      </c>
      <c r="D3" s="377" t="s">
        <v>2618</v>
      </c>
      <c r="E3" s="1215" t="s">
        <v>2583</v>
      </c>
      <c r="F3" s="377" t="s">
        <v>2618</v>
      </c>
      <c r="G3" s="1215" t="s">
        <v>2583</v>
      </c>
      <c r="H3" s="377" t="s">
        <v>2618</v>
      </c>
      <c r="I3" s="1215" t="s">
        <v>2583</v>
      </c>
      <c r="J3" s="377" t="s">
        <v>2618</v>
      </c>
      <c r="K3" s="1215" t="s">
        <v>2583</v>
      </c>
      <c r="L3" s="377" t="s">
        <v>2618</v>
      </c>
      <c r="M3" s="1215" t="s">
        <v>2583</v>
      </c>
      <c r="N3" s="377" t="s">
        <v>2618</v>
      </c>
      <c r="O3" s="1215" t="s">
        <v>2583</v>
      </c>
      <c r="P3" s="1215" t="s">
        <v>2619</v>
      </c>
      <c r="Q3" s="1215" t="s">
        <v>2585</v>
      </c>
      <c r="R3" s="1215" t="s">
        <v>2619</v>
      </c>
      <c r="S3" s="1215" t="s">
        <v>2585</v>
      </c>
      <c r="T3" s="377" t="s">
        <v>2619</v>
      </c>
      <c r="U3" s="1215" t="s">
        <v>2585</v>
      </c>
      <c r="V3" s="1237" t="s">
        <v>2619</v>
      </c>
      <c r="W3" s="1237" t="s">
        <v>2585</v>
      </c>
      <c r="X3" s="1272" t="s">
        <v>2619</v>
      </c>
      <c r="Y3" s="1237" t="s">
        <v>2585</v>
      </c>
      <c r="Z3" s="1272" t="s">
        <v>2619</v>
      </c>
      <c r="AA3" s="1237" t="s">
        <v>2585</v>
      </c>
      <c r="AB3" s="1272" t="s">
        <v>2619</v>
      </c>
      <c r="AC3" s="1237" t="s">
        <v>2585</v>
      </c>
      <c r="AD3" s="1272" t="s">
        <v>2619</v>
      </c>
      <c r="AE3" s="1273" t="s">
        <v>2585</v>
      </c>
    </row>
    <row r="4" spans="1:32" ht="19.8" customHeight="1">
      <c r="A4" s="1216"/>
      <c r="B4" s="1258" t="s">
        <v>1517</v>
      </c>
      <c r="C4" s="1259" t="s">
        <v>1026</v>
      </c>
      <c r="D4" s="1258" t="s">
        <v>1517</v>
      </c>
      <c r="E4" s="1259" t="s">
        <v>1026</v>
      </c>
      <c r="F4" s="1258" t="s">
        <v>1517</v>
      </c>
      <c r="G4" s="1259" t="s">
        <v>1026</v>
      </c>
      <c r="H4" s="1258" t="s">
        <v>1517</v>
      </c>
      <c r="I4" s="1259" t="s">
        <v>1026</v>
      </c>
      <c r="J4" s="1258" t="s">
        <v>1517</v>
      </c>
      <c r="K4" s="1259" t="s">
        <v>1026</v>
      </c>
      <c r="L4" s="1258" t="s">
        <v>1517</v>
      </c>
      <c r="M4" s="1259" t="s">
        <v>1026</v>
      </c>
      <c r="N4" s="1258" t="s">
        <v>1517</v>
      </c>
      <c r="O4" s="1259" t="s">
        <v>1026</v>
      </c>
      <c r="P4" s="1259" t="s">
        <v>803</v>
      </c>
      <c r="Q4" s="1259" t="s">
        <v>281</v>
      </c>
      <c r="R4" s="1259" t="s">
        <v>803</v>
      </c>
      <c r="S4" s="1259" t="s">
        <v>281</v>
      </c>
      <c r="T4" s="1258" t="s">
        <v>803</v>
      </c>
      <c r="U4" s="1259" t="s">
        <v>281</v>
      </c>
      <c r="V4" s="1274" t="s">
        <v>803</v>
      </c>
      <c r="W4" s="1274" t="s">
        <v>281</v>
      </c>
      <c r="X4" s="1275" t="s">
        <v>803</v>
      </c>
      <c r="Y4" s="1274" t="s">
        <v>281</v>
      </c>
      <c r="Z4" s="1275" t="s">
        <v>803</v>
      </c>
      <c r="AA4" s="1274" t="s">
        <v>281</v>
      </c>
      <c r="AB4" s="1275" t="s">
        <v>803</v>
      </c>
      <c r="AC4" s="1274" t="s">
        <v>281</v>
      </c>
      <c r="AD4" s="1275" t="s">
        <v>803</v>
      </c>
      <c r="AE4" s="1276" t="s">
        <v>281</v>
      </c>
    </row>
    <row r="5" spans="1:32" ht="19.8" customHeight="1">
      <c r="A5" s="1219" t="s">
        <v>2620</v>
      </c>
      <c r="B5" s="111">
        <v>2780901</v>
      </c>
      <c r="C5" s="1260">
        <v>95.02308688754313</v>
      </c>
      <c r="D5" s="111">
        <v>2821915</v>
      </c>
      <c r="E5" s="1260">
        <f t="shared" ref="E5:E17" si="0">D5/B5*100</f>
        <v>101.47484574244103</v>
      </c>
      <c r="F5" s="111">
        <v>2865245</v>
      </c>
      <c r="G5" s="1260">
        <f t="shared" ref="G5:G17" si="1">F5/D5*100</f>
        <v>101.53548211055259</v>
      </c>
      <c r="H5" s="111">
        <v>2719862</v>
      </c>
      <c r="I5" s="1260">
        <f t="shared" ref="I5:I17" si="2">H5/F5*100</f>
        <v>94.925983641887512</v>
      </c>
      <c r="J5" s="111">
        <v>2631781</v>
      </c>
      <c r="K5" s="1260">
        <f t="shared" ref="K5:K17" si="3">J5/H5*100</f>
        <v>96.761563638155167</v>
      </c>
      <c r="L5" s="111">
        <v>2791242</v>
      </c>
      <c r="M5" s="1260">
        <f t="shared" ref="M5:M17" si="4">L5/J5*100</f>
        <v>106.05905278592709</v>
      </c>
      <c r="N5" s="111">
        <v>2705286</v>
      </c>
      <c r="O5" s="1260">
        <f t="shared" ref="O5:O17" si="5">N5/L5*100</f>
        <v>96.920510654396864</v>
      </c>
      <c r="P5" s="349">
        <v>2907717</v>
      </c>
      <c r="Q5" s="1260">
        <f>P5/N5*100</f>
        <v>107.48279479507896</v>
      </c>
      <c r="R5" s="349">
        <v>2818693</v>
      </c>
      <c r="S5" s="1260">
        <f>R5/P5*100</f>
        <v>96.93835404201991</v>
      </c>
      <c r="T5" s="111">
        <v>2983989</v>
      </c>
      <c r="U5" s="1260">
        <f>T5/R5*100</f>
        <v>105.86427823108086</v>
      </c>
      <c r="V5" s="413">
        <v>2797541</v>
      </c>
      <c r="W5" s="1277">
        <f>V5/T5*100</f>
        <v>93.751719594140596</v>
      </c>
      <c r="X5" s="321">
        <v>3101788</v>
      </c>
      <c r="Y5" s="1277">
        <f>X5/V5*100</f>
        <v>110.87551531863163</v>
      </c>
      <c r="Z5" s="321">
        <v>3158835</v>
      </c>
      <c r="AA5" s="1277">
        <f>Z5/X5*100</f>
        <v>101.83916502352837</v>
      </c>
      <c r="AB5" s="321">
        <v>3215734</v>
      </c>
      <c r="AC5" s="1277">
        <f>AB5/Z5*100</f>
        <v>101.80126533991172</v>
      </c>
      <c r="AD5" s="321">
        <v>3228765</v>
      </c>
      <c r="AE5" s="1278">
        <f>AD5/AB5*100</f>
        <v>100.40522630292182</v>
      </c>
    </row>
    <row r="6" spans="1:32" ht="19.8" customHeight="1">
      <c r="A6" s="1219" t="s">
        <v>2621</v>
      </c>
      <c r="B6" s="111">
        <v>1292779</v>
      </c>
      <c r="C6" s="1260">
        <v>108.19864079945096</v>
      </c>
      <c r="D6" s="111">
        <v>1750354</v>
      </c>
      <c r="E6" s="1260">
        <f t="shared" si="0"/>
        <v>135.39468076136757</v>
      </c>
      <c r="F6" s="111">
        <v>1879278</v>
      </c>
      <c r="G6" s="1260">
        <f t="shared" si="1"/>
        <v>107.36559575948637</v>
      </c>
      <c r="H6" s="111">
        <v>1907307</v>
      </c>
      <c r="I6" s="1260">
        <f t="shared" si="2"/>
        <v>101.49147704597191</v>
      </c>
      <c r="J6" s="111">
        <v>1888822</v>
      </c>
      <c r="K6" s="1260">
        <f t="shared" si="3"/>
        <v>99.030832477414492</v>
      </c>
      <c r="L6" s="111">
        <v>1969965</v>
      </c>
      <c r="M6" s="1260">
        <f t="shared" si="4"/>
        <v>104.29595800980718</v>
      </c>
      <c r="N6" s="111">
        <v>1949894</v>
      </c>
      <c r="O6" s="1260">
        <f t="shared" si="5"/>
        <v>98.981149411283951</v>
      </c>
      <c r="P6" s="349">
        <v>1966539</v>
      </c>
      <c r="Q6" s="1260">
        <f t="shared" ref="Q6:Q17" si="6">P6/N6*100</f>
        <v>100.85363614637512</v>
      </c>
      <c r="R6" s="349">
        <v>1745194</v>
      </c>
      <c r="S6" s="1260">
        <f t="shared" ref="S6:S17" si="7">R6/P6*100</f>
        <v>88.744438833910749</v>
      </c>
      <c r="T6" s="111">
        <v>1829044</v>
      </c>
      <c r="U6" s="1260">
        <f t="shared" ref="U6:U17" si="8">T6/R6*100</f>
        <v>104.80462344014477</v>
      </c>
      <c r="V6" s="413">
        <v>1907200</v>
      </c>
      <c r="W6" s="1277">
        <f t="shared" ref="W6:W17" si="9">V6/T6*100</f>
        <v>104.27305193314102</v>
      </c>
      <c r="X6" s="321">
        <v>1826218</v>
      </c>
      <c r="Y6" s="1277">
        <f t="shared" ref="Y6:Y17" si="10">X6/V6*100</f>
        <v>95.753880033557053</v>
      </c>
      <c r="Z6" s="321">
        <v>2754988</v>
      </c>
      <c r="AA6" s="1277">
        <f t="shared" ref="AA6:AA17" si="11">Z6/X6*100</f>
        <v>150.85756465000344</v>
      </c>
      <c r="AB6" s="321">
        <v>2448843</v>
      </c>
      <c r="AC6" s="1277">
        <f t="shared" ref="AC6:AC17" si="12">AB6/Z6*100</f>
        <v>88.887610399754919</v>
      </c>
      <c r="AD6" s="321">
        <v>2503535</v>
      </c>
      <c r="AE6" s="1278">
        <f t="shared" ref="AE6:AE17" si="13">AD6/AB6*100</f>
        <v>102.23338123350496</v>
      </c>
      <c r="AF6" s="1261"/>
    </row>
    <row r="7" spans="1:32" ht="19.8" customHeight="1">
      <c r="A7" s="1219" t="s">
        <v>2622</v>
      </c>
      <c r="B7" s="111">
        <v>2895908</v>
      </c>
      <c r="C7" s="1260">
        <v>94.896559136754675</v>
      </c>
      <c r="D7" s="111">
        <v>2964961</v>
      </c>
      <c r="E7" s="1260">
        <f t="shared" si="0"/>
        <v>102.38450254635161</v>
      </c>
      <c r="F7" s="111">
        <v>2528465</v>
      </c>
      <c r="G7" s="1260">
        <f t="shared" si="1"/>
        <v>85.278187470256768</v>
      </c>
      <c r="H7" s="111">
        <v>2151955</v>
      </c>
      <c r="I7" s="1260">
        <f t="shared" si="2"/>
        <v>85.109147249418129</v>
      </c>
      <c r="J7" s="111">
        <v>2075108</v>
      </c>
      <c r="K7" s="1260">
        <f t="shared" si="3"/>
        <v>96.428968077864084</v>
      </c>
      <c r="L7" s="111">
        <v>1905508</v>
      </c>
      <c r="M7" s="1260">
        <f t="shared" si="4"/>
        <v>91.826931417545495</v>
      </c>
      <c r="N7" s="111">
        <v>1749416</v>
      </c>
      <c r="O7" s="1260">
        <f t="shared" si="5"/>
        <v>91.808378658079619</v>
      </c>
      <c r="P7" s="349">
        <v>1672250</v>
      </c>
      <c r="Q7" s="1260">
        <f t="shared" si="6"/>
        <v>95.589042286111479</v>
      </c>
      <c r="R7" s="349">
        <v>1430721</v>
      </c>
      <c r="S7" s="1260">
        <f t="shared" si="7"/>
        <v>85.556645238451196</v>
      </c>
      <c r="T7" s="111">
        <v>1339607</v>
      </c>
      <c r="U7" s="1260">
        <f t="shared" si="8"/>
        <v>93.631602527676606</v>
      </c>
      <c r="V7" s="413">
        <v>1350689</v>
      </c>
      <c r="W7" s="1277">
        <f t="shared" si="9"/>
        <v>100.82725754642968</v>
      </c>
      <c r="X7" s="321">
        <v>1406352</v>
      </c>
      <c r="Y7" s="1277">
        <f t="shared" si="10"/>
        <v>104.12108190708594</v>
      </c>
      <c r="Z7" s="321">
        <v>1463800</v>
      </c>
      <c r="AA7" s="1277">
        <f t="shared" si="11"/>
        <v>104.0848948200735</v>
      </c>
      <c r="AB7" s="321">
        <v>1573346</v>
      </c>
      <c r="AC7" s="1277">
        <f t="shared" si="12"/>
        <v>107.48367263287335</v>
      </c>
      <c r="AD7" s="321">
        <v>1449417</v>
      </c>
      <c r="AE7" s="1278">
        <f t="shared" si="13"/>
        <v>92.12322019441369</v>
      </c>
    </row>
    <row r="8" spans="1:32" ht="19.8" customHeight="1">
      <c r="A8" s="1219" t="s">
        <v>2623</v>
      </c>
      <c r="B8" s="111">
        <v>3781667</v>
      </c>
      <c r="C8" s="1260">
        <v>192.34357357204618</v>
      </c>
      <c r="D8" s="111">
        <v>3460060</v>
      </c>
      <c r="E8" s="1260">
        <f t="shared" si="0"/>
        <v>91.495628779583186</v>
      </c>
      <c r="F8" s="111">
        <v>1166892</v>
      </c>
      <c r="G8" s="1260">
        <f t="shared" si="1"/>
        <v>33.724617492182219</v>
      </c>
      <c r="H8" s="111">
        <v>1533523</v>
      </c>
      <c r="I8" s="1260">
        <f t="shared" si="2"/>
        <v>131.41944584417408</v>
      </c>
      <c r="J8" s="111">
        <v>1581152</v>
      </c>
      <c r="K8" s="1260">
        <f t="shared" si="3"/>
        <v>103.10585494968123</v>
      </c>
      <c r="L8" s="111">
        <v>1178051</v>
      </c>
      <c r="M8" s="1260">
        <f t="shared" si="4"/>
        <v>74.505866608649896</v>
      </c>
      <c r="N8" s="111">
        <v>1583458</v>
      </c>
      <c r="O8" s="1260">
        <f t="shared" si="5"/>
        <v>134.4133658050458</v>
      </c>
      <c r="P8" s="349">
        <v>2303097</v>
      </c>
      <c r="Q8" s="1260">
        <f t="shared" si="6"/>
        <v>145.44730583318281</v>
      </c>
      <c r="R8" s="349">
        <v>1671260</v>
      </c>
      <c r="S8" s="1260">
        <f t="shared" si="7"/>
        <v>72.565766878251324</v>
      </c>
      <c r="T8" s="111">
        <v>1235315</v>
      </c>
      <c r="U8" s="1260">
        <f t="shared" si="8"/>
        <v>73.915189737084603</v>
      </c>
      <c r="V8" s="413">
        <v>2325766</v>
      </c>
      <c r="W8" s="1277">
        <f t="shared" si="9"/>
        <v>188.2731125259549</v>
      </c>
      <c r="X8" s="321">
        <v>1238292</v>
      </c>
      <c r="Y8" s="1277">
        <f t="shared" si="10"/>
        <v>53.242329623874454</v>
      </c>
      <c r="Z8" s="321">
        <v>1031978</v>
      </c>
      <c r="AA8" s="1277">
        <f t="shared" si="11"/>
        <v>83.338824768309891</v>
      </c>
      <c r="AB8" s="321">
        <v>1072934</v>
      </c>
      <c r="AC8" s="1277">
        <f t="shared" si="12"/>
        <v>103.96868925500348</v>
      </c>
      <c r="AD8" s="321">
        <v>1062986</v>
      </c>
      <c r="AE8" s="1278">
        <f t="shared" si="13"/>
        <v>99.072822745853898</v>
      </c>
    </row>
    <row r="9" spans="1:32" ht="19.8" customHeight="1">
      <c r="A9" s="1219" t="s">
        <v>2624</v>
      </c>
      <c r="B9" s="111">
        <v>33541</v>
      </c>
      <c r="C9" s="1260">
        <v>837.26909635546679</v>
      </c>
      <c r="D9" s="111">
        <v>29477</v>
      </c>
      <c r="E9" s="1260">
        <f t="shared" si="0"/>
        <v>87.88348588294923</v>
      </c>
      <c r="F9" s="111">
        <v>138242</v>
      </c>
      <c r="G9" s="1260">
        <f t="shared" si="1"/>
        <v>468.98259660073956</v>
      </c>
      <c r="H9" s="111">
        <v>19796</v>
      </c>
      <c r="I9" s="1260">
        <f t="shared" si="2"/>
        <v>14.319815974884623</v>
      </c>
      <c r="J9" s="111">
        <v>13209</v>
      </c>
      <c r="K9" s="1260">
        <f t="shared" si="3"/>
        <v>66.725601131541723</v>
      </c>
      <c r="L9" s="111">
        <v>36848</v>
      </c>
      <c r="M9" s="1260">
        <f t="shared" si="4"/>
        <v>278.96131425543189</v>
      </c>
      <c r="N9" s="111">
        <v>80136</v>
      </c>
      <c r="O9" s="1260">
        <f t="shared" si="5"/>
        <v>217.47720364741642</v>
      </c>
      <c r="P9" s="349">
        <v>35432</v>
      </c>
      <c r="Q9" s="1260">
        <f t="shared" si="6"/>
        <v>44.214834780872515</v>
      </c>
      <c r="R9" s="349">
        <v>39983</v>
      </c>
      <c r="S9" s="1260">
        <f t="shared" si="7"/>
        <v>112.84432151727253</v>
      </c>
      <c r="T9" s="111">
        <v>91923</v>
      </c>
      <c r="U9" s="1260">
        <f t="shared" si="8"/>
        <v>229.90520971412849</v>
      </c>
      <c r="V9" s="413">
        <v>48709</v>
      </c>
      <c r="W9" s="1277">
        <f t="shared" si="9"/>
        <v>52.988914635075012</v>
      </c>
      <c r="X9" s="321">
        <v>53991</v>
      </c>
      <c r="Y9" s="1277">
        <f t="shared" si="10"/>
        <v>110.8439918700856</v>
      </c>
      <c r="Z9" s="321">
        <v>34396</v>
      </c>
      <c r="AA9" s="1277">
        <f t="shared" si="11"/>
        <v>63.706914115315513</v>
      </c>
      <c r="AB9" s="321">
        <v>13433</v>
      </c>
      <c r="AC9" s="1277">
        <f t="shared" si="12"/>
        <v>39.053959762763114</v>
      </c>
      <c r="AD9" s="321">
        <v>32639</v>
      </c>
      <c r="AE9" s="1278">
        <f t="shared" si="13"/>
        <v>242.97625251246927</v>
      </c>
    </row>
    <row r="10" spans="1:32" ht="19.8" customHeight="1">
      <c r="A10" s="1219" t="s">
        <v>2625</v>
      </c>
      <c r="B10" s="111">
        <v>2154192</v>
      </c>
      <c r="C10" s="1260">
        <v>102.32456511185823</v>
      </c>
      <c r="D10" s="111">
        <v>2254001</v>
      </c>
      <c r="E10" s="1260">
        <f t="shared" si="0"/>
        <v>104.63324531889451</v>
      </c>
      <c r="F10" s="111">
        <v>2391308</v>
      </c>
      <c r="G10" s="1260">
        <f t="shared" si="1"/>
        <v>106.09170093535896</v>
      </c>
      <c r="H10" s="111">
        <v>2369840</v>
      </c>
      <c r="I10" s="1260">
        <f t="shared" si="2"/>
        <v>99.102248643838436</v>
      </c>
      <c r="J10" s="111">
        <v>2250975</v>
      </c>
      <c r="K10" s="1260">
        <f t="shared" si="3"/>
        <v>94.984260540796001</v>
      </c>
      <c r="L10" s="111">
        <v>2549238</v>
      </c>
      <c r="M10" s="1260">
        <f t="shared" si="4"/>
        <v>113.25039149701797</v>
      </c>
      <c r="N10" s="111">
        <v>2581516</v>
      </c>
      <c r="O10" s="1260">
        <f t="shared" si="5"/>
        <v>101.26618228662841</v>
      </c>
      <c r="P10" s="349">
        <v>2517233</v>
      </c>
      <c r="Q10" s="1260">
        <f t="shared" si="6"/>
        <v>97.509874043004189</v>
      </c>
      <c r="R10" s="349">
        <v>2489278</v>
      </c>
      <c r="S10" s="1260">
        <f t="shared" si="7"/>
        <v>98.889455207364591</v>
      </c>
      <c r="T10" s="111">
        <v>2305084</v>
      </c>
      <c r="U10" s="1260">
        <f t="shared" si="8"/>
        <v>92.600505046041462</v>
      </c>
      <c r="V10" s="413">
        <v>2498744</v>
      </c>
      <c r="W10" s="1277">
        <f t="shared" si="9"/>
        <v>108.40142918869769</v>
      </c>
      <c r="X10" s="321">
        <v>2192112</v>
      </c>
      <c r="Y10" s="1277">
        <f t="shared" si="10"/>
        <v>87.728554825944542</v>
      </c>
      <c r="Z10" s="321">
        <v>2305621</v>
      </c>
      <c r="AA10" s="1277">
        <f t="shared" si="11"/>
        <v>105.17806571926982</v>
      </c>
      <c r="AB10" s="321">
        <v>2453481</v>
      </c>
      <c r="AC10" s="1277">
        <f t="shared" si="12"/>
        <v>106.4130227821485</v>
      </c>
      <c r="AD10" s="321">
        <v>2356004</v>
      </c>
      <c r="AE10" s="1278">
        <f t="shared" si="13"/>
        <v>96.026991853615328</v>
      </c>
    </row>
    <row r="11" spans="1:32" ht="19.8" customHeight="1">
      <c r="A11" s="1219" t="s">
        <v>2626</v>
      </c>
      <c r="B11" s="111">
        <v>2386422</v>
      </c>
      <c r="C11" s="1260">
        <v>134.23561666027294</v>
      </c>
      <c r="D11" s="111">
        <v>1909129</v>
      </c>
      <c r="E11" s="1260">
        <f t="shared" si="0"/>
        <v>79.999639627861299</v>
      </c>
      <c r="F11" s="111">
        <v>2475102</v>
      </c>
      <c r="G11" s="1260">
        <f t="shared" si="1"/>
        <v>129.64561326133543</v>
      </c>
      <c r="H11" s="111">
        <v>2259121</v>
      </c>
      <c r="I11" s="1260">
        <f t="shared" si="2"/>
        <v>91.273854572458021</v>
      </c>
      <c r="J11" s="111">
        <v>2103064</v>
      </c>
      <c r="K11" s="1260">
        <f t="shared" si="3"/>
        <v>93.092136277782373</v>
      </c>
      <c r="L11" s="111">
        <v>3096336</v>
      </c>
      <c r="M11" s="1260">
        <f t="shared" si="4"/>
        <v>147.22975620333</v>
      </c>
      <c r="N11" s="111">
        <v>3325515</v>
      </c>
      <c r="O11" s="1260">
        <f t="shared" si="5"/>
        <v>107.4016192041174</v>
      </c>
      <c r="P11" s="349">
        <v>3672337</v>
      </c>
      <c r="Q11" s="1260">
        <f t="shared" si="6"/>
        <v>110.42912150448878</v>
      </c>
      <c r="R11" s="349">
        <v>5587515</v>
      </c>
      <c r="S11" s="1260">
        <f t="shared" si="7"/>
        <v>152.15147738347542</v>
      </c>
      <c r="T11" s="111">
        <v>3846113</v>
      </c>
      <c r="U11" s="1260">
        <f t="shared" si="8"/>
        <v>68.83405234706305</v>
      </c>
      <c r="V11" s="413">
        <v>3516689</v>
      </c>
      <c r="W11" s="1277">
        <f t="shared" si="9"/>
        <v>91.434885038479109</v>
      </c>
      <c r="X11" s="321">
        <v>6919500</v>
      </c>
      <c r="Y11" s="1277">
        <f t="shared" si="10"/>
        <v>196.76178359815154</v>
      </c>
      <c r="Z11" s="321">
        <v>4127702</v>
      </c>
      <c r="AA11" s="1277">
        <f t="shared" si="11"/>
        <v>59.653183033456173</v>
      </c>
      <c r="AB11" s="321">
        <v>3986478</v>
      </c>
      <c r="AC11" s="1277">
        <f t="shared" si="12"/>
        <v>96.578628980483572</v>
      </c>
      <c r="AD11" s="321">
        <v>4126724</v>
      </c>
      <c r="AE11" s="1278">
        <f t="shared" si="13"/>
        <v>103.51804274349439</v>
      </c>
    </row>
    <row r="12" spans="1:32" ht="19.8" customHeight="1">
      <c r="A12" s="1219" t="s">
        <v>2627</v>
      </c>
      <c r="B12" s="1118">
        <v>459497</v>
      </c>
      <c r="C12" s="1262">
        <v>150.63450486983717</v>
      </c>
      <c r="D12" s="1118">
        <v>363797</v>
      </c>
      <c r="E12" s="1262">
        <f t="shared" si="0"/>
        <v>79.172878168954313</v>
      </c>
      <c r="F12" s="1118">
        <v>363312</v>
      </c>
      <c r="G12" s="1262">
        <f t="shared" si="1"/>
        <v>99.86668389239054</v>
      </c>
      <c r="H12" s="1118">
        <v>450009</v>
      </c>
      <c r="I12" s="1262">
        <f t="shared" si="2"/>
        <v>123.8629607609988</v>
      </c>
      <c r="J12" s="1118">
        <v>561148</v>
      </c>
      <c r="K12" s="1262">
        <f t="shared" si="3"/>
        <v>124.69706161432327</v>
      </c>
      <c r="L12" s="1118">
        <v>718812</v>
      </c>
      <c r="M12" s="1262">
        <f t="shared" si="4"/>
        <v>128.09668750490067</v>
      </c>
      <c r="N12" s="1118">
        <v>446294</v>
      </c>
      <c r="O12" s="1263">
        <f t="shared" si="5"/>
        <v>62.087722519935674</v>
      </c>
      <c r="P12" s="1118">
        <v>596321</v>
      </c>
      <c r="Q12" s="1263">
        <f t="shared" si="6"/>
        <v>133.61618126167951</v>
      </c>
      <c r="R12" s="1118">
        <v>557254</v>
      </c>
      <c r="S12" s="1263">
        <f t="shared" si="7"/>
        <v>93.448662716892414</v>
      </c>
      <c r="T12" s="1118">
        <v>471490</v>
      </c>
      <c r="U12" s="1263">
        <f t="shared" si="8"/>
        <v>84.609531739565796</v>
      </c>
      <c r="V12" s="1279">
        <v>383675</v>
      </c>
      <c r="W12" s="1280">
        <f t="shared" si="9"/>
        <v>81.375002651169694</v>
      </c>
      <c r="X12" s="321">
        <v>521533</v>
      </c>
      <c r="Y12" s="1277">
        <f t="shared" si="10"/>
        <v>135.93093112660455</v>
      </c>
      <c r="Z12" s="321">
        <v>713906</v>
      </c>
      <c r="AA12" s="1277">
        <f t="shared" si="11"/>
        <v>136.88606473607615</v>
      </c>
      <c r="AB12" s="321">
        <v>456554</v>
      </c>
      <c r="AC12" s="1277">
        <f t="shared" si="12"/>
        <v>63.951556647513819</v>
      </c>
      <c r="AD12" s="321">
        <v>582902</v>
      </c>
      <c r="AE12" s="1278">
        <f t="shared" si="13"/>
        <v>127.67427292280868</v>
      </c>
    </row>
    <row r="13" spans="1:32" ht="19.8" customHeight="1">
      <c r="A13" s="1219" t="s">
        <v>2628</v>
      </c>
      <c r="B13" s="111">
        <v>243807</v>
      </c>
      <c r="C13" s="1260">
        <v>133.44517301397906</v>
      </c>
      <c r="D13" s="111">
        <v>990056</v>
      </c>
      <c r="E13" s="1260">
        <f t="shared" si="0"/>
        <v>406.08185983175218</v>
      </c>
      <c r="F13" s="111">
        <v>164591</v>
      </c>
      <c r="G13" s="1260">
        <f t="shared" si="1"/>
        <v>16.624413164507867</v>
      </c>
      <c r="H13" s="111">
        <v>624203</v>
      </c>
      <c r="I13" s="1260">
        <f t="shared" si="2"/>
        <v>379.24491618618271</v>
      </c>
      <c r="J13" s="111">
        <v>973070</v>
      </c>
      <c r="K13" s="1260">
        <f t="shared" si="3"/>
        <v>155.88999091641662</v>
      </c>
      <c r="L13" s="111">
        <v>142589</v>
      </c>
      <c r="M13" s="1260">
        <f t="shared" si="4"/>
        <v>14.653519274050172</v>
      </c>
      <c r="N13" s="111">
        <v>817327</v>
      </c>
      <c r="O13" s="1260">
        <f t="shared" si="5"/>
        <v>573.20480541977292</v>
      </c>
      <c r="P13" s="349">
        <v>75240</v>
      </c>
      <c r="Q13" s="1260">
        <f t="shared" si="6"/>
        <v>9.2056178249342064</v>
      </c>
      <c r="R13" s="349">
        <v>808833</v>
      </c>
      <c r="S13" s="1260">
        <f t="shared" si="7"/>
        <v>1075.0039872408295</v>
      </c>
      <c r="T13" s="111">
        <v>557719</v>
      </c>
      <c r="U13" s="1260">
        <f t="shared" si="8"/>
        <v>68.95354170762073</v>
      </c>
      <c r="V13" s="413">
        <v>258865</v>
      </c>
      <c r="W13" s="1277">
        <f t="shared" si="9"/>
        <v>46.414950898212183</v>
      </c>
      <c r="X13" s="321">
        <v>187986</v>
      </c>
      <c r="Y13" s="1277">
        <f t="shared" si="10"/>
        <v>72.619318950031868</v>
      </c>
      <c r="Z13" s="321">
        <v>330178</v>
      </c>
      <c r="AA13" s="1277">
        <f t="shared" si="11"/>
        <v>175.63967529496878</v>
      </c>
      <c r="AB13" s="321">
        <v>418728</v>
      </c>
      <c r="AC13" s="1277">
        <f t="shared" si="12"/>
        <v>126.81886739879702</v>
      </c>
      <c r="AD13" s="321">
        <v>524583</v>
      </c>
      <c r="AE13" s="1278">
        <f t="shared" si="13"/>
        <v>125.28013412047916</v>
      </c>
    </row>
    <row r="14" spans="1:32" ht="19.8" customHeight="1">
      <c r="A14" s="1219" t="s">
        <v>2629</v>
      </c>
      <c r="B14" s="111">
        <v>553878</v>
      </c>
      <c r="C14" s="1260">
        <v>101.16640973749389</v>
      </c>
      <c r="D14" s="111">
        <v>504705</v>
      </c>
      <c r="E14" s="1260">
        <f t="shared" si="0"/>
        <v>91.122052148668118</v>
      </c>
      <c r="F14" s="111">
        <v>514509</v>
      </c>
      <c r="G14" s="1260">
        <f t="shared" si="1"/>
        <v>101.94252087853299</v>
      </c>
      <c r="H14" s="111">
        <v>506045</v>
      </c>
      <c r="I14" s="1260">
        <f t="shared" si="2"/>
        <v>98.354936453978453</v>
      </c>
      <c r="J14" s="111">
        <v>506990</v>
      </c>
      <c r="K14" s="1260">
        <f t="shared" si="3"/>
        <v>100.18674228576509</v>
      </c>
      <c r="L14" s="111">
        <v>507500</v>
      </c>
      <c r="M14" s="1260">
        <f t="shared" si="4"/>
        <v>100.10059370007298</v>
      </c>
      <c r="N14" s="111">
        <v>832698</v>
      </c>
      <c r="O14" s="1260">
        <f t="shared" si="5"/>
        <v>164.07842364532019</v>
      </c>
      <c r="P14" s="349">
        <v>508029</v>
      </c>
      <c r="Q14" s="1260">
        <f t="shared" si="6"/>
        <v>61.00999401944042</v>
      </c>
      <c r="R14" s="349">
        <v>506438</v>
      </c>
      <c r="S14" s="1260">
        <f t="shared" si="7"/>
        <v>99.686828901499709</v>
      </c>
      <c r="T14" s="111">
        <v>505910</v>
      </c>
      <c r="U14" s="1260">
        <f t="shared" si="8"/>
        <v>99.895742420592455</v>
      </c>
      <c r="V14" s="413">
        <v>666485</v>
      </c>
      <c r="W14" s="1277">
        <f t="shared" si="9"/>
        <v>131.73983514854422</v>
      </c>
      <c r="X14" s="321">
        <v>995715</v>
      </c>
      <c r="Y14" s="1277">
        <f t="shared" si="10"/>
        <v>149.39796094435732</v>
      </c>
      <c r="Z14" s="321">
        <v>756824</v>
      </c>
      <c r="AA14" s="1277">
        <f t="shared" si="11"/>
        <v>76.008094685728338</v>
      </c>
      <c r="AB14" s="321">
        <v>755085</v>
      </c>
      <c r="AC14" s="1277">
        <f t="shared" si="12"/>
        <v>99.770223988668434</v>
      </c>
      <c r="AD14" s="321">
        <v>755244</v>
      </c>
      <c r="AE14" s="1278">
        <f t="shared" si="13"/>
        <v>100.02105723196726</v>
      </c>
    </row>
    <row r="15" spans="1:32" ht="19.8" customHeight="1">
      <c r="A15" s="1219" t="s">
        <v>2630</v>
      </c>
      <c r="B15" s="111">
        <v>1578535</v>
      </c>
      <c r="C15" s="1260">
        <v>103.31517531119856</v>
      </c>
      <c r="D15" s="111">
        <v>1630724</v>
      </c>
      <c r="E15" s="1260">
        <f t="shared" si="0"/>
        <v>103.30616679389435</v>
      </c>
      <c r="F15" s="111">
        <v>1810340</v>
      </c>
      <c r="G15" s="1260">
        <f t="shared" si="1"/>
        <v>111.01449417559317</v>
      </c>
      <c r="H15" s="111">
        <v>1794827</v>
      </c>
      <c r="I15" s="1260">
        <f t="shared" si="2"/>
        <v>99.143089143475819</v>
      </c>
      <c r="J15" s="111">
        <v>1961212</v>
      </c>
      <c r="K15" s="1260">
        <f t="shared" si="3"/>
        <v>109.27025278759457</v>
      </c>
      <c r="L15" s="111">
        <v>1261198</v>
      </c>
      <c r="M15" s="1260">
        <f t="shared" si="4"/>
        <v>64.30707134159897</v>
      </c>
      <c r="N15" s="111">
        <v>1320326</v>
      </c>
      <c r="O15" s="1260">
        <f t="shared" si="5"/>
        <v>104.68824086305244</v>
      </c>
      <c r="P15" s="349">
        <v>1292756</v>
      </c>
      <c r="Q15" s="1260">
        <f t="shared" si="6"/>
        <v>97.911879338890557</v>
      </c>
      <c r="R15" s="349">
        <v>1299450</v>
      </c>
      <c r="S15" s="1260">
        <f t="shared" si="7"/>
        <v>100.51780846501583</v>
      </c>
      <c r="T15" s="111">
        <v>1275307</v>
      </c>
      <c r="U15" s="1260">
        <f t="shared" si="8"/>
        <v>98.142060102350996</v>
      </c>
      <c r="V15" s="413">
        <v>1280244</v>
      </c>
      <c r="W15" s="1277">
        <f t="shared" si="9"/>
        <v>100.38712247325546</v>
      </c>
      <c r="X15" s="321">
        <v>1294971</v>
      </c>
      <c r="Y15" s="1277">
        <f t="shared" si="10"/>
        <v>101.15032759380243</v>
      </c>
      <c r="Z15" s="321">
        <v>1307773</v>
      </c>
      <c r="AA15" s="1277">
        <f t="shared" si="11"/>
        <v>100.98859356696019</v>
      </c>
      <c r="AB15" s="321">
        <v>1310135</v>
      </c>
      <c r="AC15" s="1277">
        <f t="shared" si="12"/>
        <v>100.18061238456522</v>
      </c>
      <c r="AD15" s="321">
        <v>1525094</v>
      </c>
      <c r="AE15" s="1278">
        <f t="shared" si="13"/>
        <v>116.4073931312422</v>
      </c>
    </row>
    <row r="16" spans="1:32" ht="19.8" customHeight="1">
      <c r="A16" s="1264" t="s">
        <v>2631</v>
      </c>
      <c r="B16" s="1265">
        <v>18161127</v>
      </c>
      <c r="C16" s="1266">
        <v>116.49750559422742</v>
      </c>
      <c r="D16" s="1265">
        <v>18679179</v>
      </c>
      <c r="E16" s="1266">
        <f t="shared" si="0"/>
        <v>102.85253222445942</v>
      </c>
      <c r="F16" s="1265">
        <v>16297284</v>
      </c>
      <c r="G16" s="1266">
        <f t="shared" si="1"/>
        <v>87.248395660216119</v>
      </c>
      <c r="H16" s="1265">
        <v>16336488</v>
      </c>
      <c r="I16" s="1266">
        <f t="shared" si="2"/>
        <v>100.24055542015466</v>
      </c>
      <c r="J16" s="1265">
        <v>16546531</v>
      </c>
      <c r="K16" s="1266">
        <f t="shared" si="3"/>
        <v>101.28572922160504</v>
      </c>
      <c r="L16" s="1265">
        <f>+SUM(L5:L15)</f>
        <v>16157287</v>
      </c>
      <c r="M16" s="1266">
        <f t="shared" si="4"/>
        <v>97.647579423143142</v>
      </c>
      <c r="N16" s="1265">
        <f>+SUM(N5:N15)</f>
        <v>17391866</v>
      </c>
      <c r="O16" s="1266">
        <f t="shared" si="5"/>
        <v>107.64100433445294</v>
      </c>
      <c r="P16" s="1267">
        <v>17546951</v>
      </c>
      <c r="Q16" s="1266">
        <f t="shared" si="6"/>
        <v>100.89170995222709</v>
      </c>
      <c r="R16" s="1267">
        <v>18954619</v>
      </c>
      <c r="S16" s="1266">
        <f t="shared" si="7"/>
        <v>108.02229401563838</v>
      </c>
      <c r="T16" s="1265">
        <v>16441501</v>
      </c>
      <c r="U16" s="1266">
        <f t="shared" si="8"/>
        <v>86.741395329550016</v>
      </c>
      <c r="V16" s="1281">
        <v>17034607</v>
      </c>
      <c r="W16" s="1282">
        <f t="shared" si="9"/>
        <v>103.60737137077692</v>
      </c>
      <c r="X16" s="319">
        <v>19738458</v>
      </c>
      <c r="Y16" s="1277">
        <f t="shared" si="10"/>
        <v>115.87269374632476</v>
      </c>
      <c r="Z16" s="321">
        <v>17986001</v>
      </c>
      <c r="AA16" s="1277">
        <f t="shared" si="11"/>
        <v>91.121611424762762</v>
      </c>
      <c r="AB16" s="321">
        <v>17704751</v>
      </c>
      <c r="AC16" s="1277">
        <f t="shared" si="12"/>
        <v>98.436283863211173</v>
      </c>
      <c r="AD16" s="321">
        <v>18147893</v>
      </c>
      <c r="AE16" s="1278">
        <f t="shared" si="13"/>
        <v>102.50295528019568</v>
      </c>
    </row>
    <row r="17" spans="1:31" ht="19.8" customHeight="1" thickBot="1">
      <c r="A17" s="1230" t="s">
        <v>2632</v>
      </c>
      <c r="B17" s="119">
        <v>636528</v>
      </c>
      <c r="C17" s="1268">
        <v>130.17198715720158</v>
      </c>
      <c r="D17" s="119">
        <v>736941</v>
      </c>
      <c r="E17" s="1268">
        <f t="shared" si="0"/>
        <v>115.77511122841415</v>
      </c>
      <c r="F17" s="119">
        <v>823079</v>
      </c>
      <c r="G17" s="1268">
        <f t="shared" si="1"/>
        <v>111.6885883673184</v>
      </c>
      <c r="H17" s="119">
        <v>757461</v>
      </c>
      <c r="I17" s="1268">
        <f t="shared" si="2"/>
        <v>92.027739743086627</v>
      </c>
      <c r="J17" s="119">
        <v>619378</v>
      </c>
      <c r="K17" s="1268">
        <f t="shared" si="3"/>
        <v>81.770282562402556</v>
      </c>
      <c r="L17" s="119">
        <f>17010145-L16</f>
        <v>852858</v>
      </c>
      <c r="M17" s="1268">
        <f t="shared" si="4"/>
        <v>137.69588199774611</v>
      </c>
      <c r="N17" s="119">
        <f>18057090-N16</f>
        <v>665224</v>
      </c>
      <c r="O17" s="1268">
        <f t="shared" si="5"/>
        <v>77.999385595257351</v>
      </c>
      <c r="P17" s="1269">
        <v>753414</v>
      </c>
      <c r="Q17" s="1270">
        <f t="shared" si="6"/>
        <v>113.25718855603526</v>
      </c>
      <c r="R17" s="1269">
        <v>520130</v>
      </c>
      <c r="S17" s="1270">
        <f t="shared" si="7"/>
        <v>69.036412915077236</v>
      </c>
      <c r="T17" s="119">
        <v>800051</v>
      </c>
      <c r="U17" s="1268">
        <f t="shared" si="8"/>
        <v>153.81750716167113</v>
      </c>
      <c r="V17" s="1283">
        <v>637460</v>
      </c>
      <c r="W17" s="1284">
        <f t="shared" si="9"/>
        <v>79.677420564439018</v>
      </c>
      <c r="X17" s="337">
        <v>780316</v>
      </c>
      <c r="Y17" s="1254">
        <f t="shared" si="10"/>
        <v>122.41019044332194</v>
      </c>
      <c r="Z17" s="337">
        <v>995046</v>
      </c>
      <c r="AA17" s="1254">
        <f t="shared" si="11"/>
        <v>127.51833872431169</v>
      </c>
      <c r="AB17" s="337">
        <v>811340</v>
      </c>
      <c r="AC17" s="1254">
        <f t="shared" si="12"/>
        <v>81.537938949556093</v>
      </c>
      <c r="AD17" s="337">
        <v>470551</v>
      </c>
      <c r="AE17" s="1285">
        <f t="shared" si="13"/>
        <v>57.996770774274651</v>
      </c>
    </row>
    <row r="18" spans="1:31" ht="16.8" customHeight="1">
      <c r="A18" s="1201" t="s">
        <v>20</v>
      </c>
      <c r="B18" s="124"/>
      <c r="D18" s="124"/>
      <c r="F18" s="124"/>
      <c r="H18" s="124"/>
      <c r="J18" s="124"/>
      <c r="L18" s="124"/>
      <c r="N18" s="124"/>
      <c r="T18" s="124"/>
    </row>
  </sheetData>
  <mergeCells count="15">
    <mergeCell ref="Z2:AA2"/>
    <mergeCell ref="AB2:AC2"/>
    <mergeCell ref="AD2:AE2"/>
    <mergeCell ref="N2:O2"/>
    <mergeCell ref="P2:Q2"/>
    <mergeCell ref="R2:S2"/>
    <mergeCell ref="T2:U2"/>
    <mergeCell ref="V2:W2"/>
    <mergeCell ref="X2:Y2"/>
    <mergeCell ref="L2:M2"/>
    <mergeCell ref="B2:C2"/>
    <mergeCell ref="D2:E2"/>
    <mergeCell ref="F2:G2"/>
    <mergeCell ref="H2:I2"/>
    <mergeCell ref="J2:K2"/>
  </mergeCells>
  <phoneticPr fontId="4"/>
  <pageMargins left="0.7" right="0.7" top="0.75" bottom="0.75" header="0.3" footer="0.3"/>
  <pageSetup paperSize="9" orientation="portrait" r:id="rId1"/>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0ECA4-D8C0-4952-AE98-C7E33CFE7883}">
  <sheetPr codeName="Sheet92"/>
  <dimension ref="A1:H34"/>
  <sheetViews>
    <sheetView workbookViewId="0"/>
  </sheetViews>
  <sheetFormatPr defaultColWidth="8.09765625" defaultRowHeight="12"/>
  <cols>
    <col min="1" max="1" width="1.69921875" style="1290" customWidth="1"/>
    <col min="2" max="2" width="3.8984375" style="1290" customWidth="1"/>
    <col min="3" max="3" width="15.09765625" style="1290" customWidth="1"/>
    <col min="4" max="7" width="11.3984375" style="1290" customWidth="1"/>
    <col min="8" max="16384" width="8.09765625" style="1290"/>
  </cols>
  <sheetData>
    <row r="1" spans="1:8" s="1286" customFormat="1" ht="30" customHeight="1" thickBot="1">
      <c r="A1" s="2145" t="s">
        <v>2633</v>
      </c>
      <c r="E1" s="1287"/>
      <c r="F1" s="1287"/>
      <c r="G1" s="1288"/>
      <c r="H1" s="1289"/>
    </row>
    <row r="2" spans="1:8">
      <c r="A2" s="2407" t="s">
        <v>504</v>
      </c>
      <c r="B2" s="2408"/>
      <c r="C2" s="2409"/>
      <c r="D2" s="2396" t="s">
        <v>2634</v>
      </c>
      <c r="E2" s="2396" t="s">
        <v>2635</v>
      </c>
      <c r="F2" s="2396" t="s">
        <v>2636</v>
      </c>
      <c r="G2" s="2396" t="s">
        <v>2637</v>
      </c>
    </row>
    <row r="3" spans="1:8">
      <c r="A3" s="2410"/>
      <c r="B3" s="2411"/>
      <c r="C3" s="2412"/>
      <c r="D3" s="2397"/>
      <c r="E3" s="2397"/>
      <c r="F3" s="2397"/>
      <c r="G3" s="2397"/>
    </row>
    <row r="4" spans="1:8">
      <c r="A4" s="2413"/>
      <c r="B4" s="2414"/>
      <c r="C4" s="2415"/>
      <c r="D4" s="1291" t="s">
        <v>2638</v>
      </c>
      <c r="E4" s="1292" t="s">
        <v>2639</v>
      </c>
      <c r="F4" s="1291" t="s">
        <v>2640</v>
      </c>
      <c r="G4" s="1293" t="s">
        <v>2641</v>
      </c>
    </row>
    <row r="5" spans="1:8" s="1298" customFormat="1" ht="14.4" customHeight="1">
      <c r="A5" s="1294" t="s">
        <v>2642</v>
      </c>
      <c r="B5" s="1295"/>
      <c r="C5" s="1296"/>
      <c r="D5" s="1297" t="s">
        <v>1517</v>
      </c>
      <c r="E5" s="1297" t="s">
        <v>1517</v>
      </c>
      <c r="F5" s="1297" t="s">
        <v>1517</v>
      </c>
      <c r="G5" s="1297" t="s">
        <v>1517</v>
      </c>
    </row>
    <row r="6" spans="1:8" ht="14.4" customHeight="1">
      <c r="A6" s="1299">
        <v>1</v>
      </c>
      <c r="B6" s="2399" t="s">
        <v>2643</v>
      </c>
      <c r="C6" s="2400"/>
      <c r="D6" s="1300">
        <f>+SUBTOTAL(9,D7:D17)</f>
        <v>2462902</v>
      </c>
      <c r="E6" s="1300"/>
      <c r="F6" s="1300">
        <f>+SUBTOTAL(9,F7:F17)</f>
        <v>287940</v>
      </c>
      <c r="G6" s="1300">
        <f>SUM(G7:G17)</f>
        <v>2639662</v>
      </c>
    </row>
    <row r="7" spans="1:8" ht="14.4" customHeight="1">
      <c r="A7" s="1299"/>
      <c r="B7" s="1301" t="s">
        <v>2644</v>
      </c>
      <c r="C7" s="1302" t="s">
        <v>2645</v>
      </c>
      <c r="D7" s="1300">
        <v>74243</v>
      </c>
      <c r="E7" s="1303"/>
      <c r="F7" s="1300">
        <v>22378</v>
      </c>
      <c r="G7" s="1304">
        <f>D7+E7-F7</f>
        <v>51865</v>
      </c>
    </row>
    <row r="8" spans="1:8" ht="14.4" customHeight="1">
      <c r="A8" s="1299"/>
      <c r="B8" s="1301" t="s">
        <v>2646</v>
      </c>
      <c r="C8" s="1302" t="s">
        <v>2647</v>
      </c>
      <c r="D8" s="1300">
        <v>1672</v>
      </c>
      <c r="E8" s="1303"/>
      <c r="F8" s="1300">
        <v>1672</v>
      </c>
      <c r="G8" s="1304">
        <f t="shared" ref="G8:G18" si="0">D8+E8-F8</f>
        <v>0</v>
      </c>
    </row>
    <row r="9" spans="1:8" ht="14.4" customHeight="1">
      <c r="A9" s="1299"/>
      <c r="B9" s="1301" t="s">
        <v>2648</v>
      </c>
      <c r="C9" s="1302" t="s">
        <v>2649</v>
      </c>
      <c r="D9" s="1300">
        <v>22167</v>
      </c>
      <c r="E9" s="1303"/>
      <c r="F9" s="1300">
        <v>3696</v>
      </c>
      <c r="G9" s="1304">
        <f t="shared" si="0"/>
        <v>18471</v>
      </c>
    </row>
    <row r="10" spans="1:8" ht="14.4" customHeight="1">
      <c r="A10" s="1299"/>
      <c r="B10" s="1301" t="s">
        <v>2650</v>
      </c>
      <c r="C10" s="1302" t="s">
        <v>2651</v>
      </c>
      <c r="D10" s="1300">
        <v>2980</v>
      </c>
      <c r="E10" s="1303"/>
      <c r="F10" s="1300">
        <v>2231</v>
      </c>
      <c r="G10" s="1304">
        <f t="shared" si="0"/>
        <v>749</v>
      </c>
    </row>
    <row r="11" spans="1:8" ht="14.4" customHeight="1">
      <c r="A11" s="1299"/>
      <c r="B11" s="1301" t="s">
        <v>2652</v>
      </c>
      <c r="C11" s="1302" t="s">
        <v>2653</v>
      </c>
      <c r="D11" s="1300">
        <v>329924</v>
      </c>
      <c r="E11" s="1303">
        <v>42000</v>
      </c>
      <c r="F11" s="1300">
        <v>37851</v>
      </c>
      <c r="G11" s="1304">
        <f t="shared" si="0"/>
        <v>334073</v>
      </c>
    </row>
    <row r="12" spans="1:8" ht="14.4" customHeight="1">
      <c r="A12" s="1299"/>
      <c r="B12" s="1301" t="s">
        <v>2654</v>
      </c>
      <c r="C12" s="1302" t="s">
        <v>2655</v>
      </c>
      <c r="D12" s="1300">
        <v>0</v>
      </c>
      <c r="E12" s="1303"/>
      <c r="F12" s="1300"/>
      <c r="G12" s="1304">
        <f t="shared" si="0"/>
        <v>0</v>
      </c>
    </row>
    <row r="13" spans="1:8" ht="14.4" customHeight="1">
      <c r="A13" s="1299"/>
      <c r="B13" s="1301" t="s">
        <v>2656</v>
      </c>
      <c r="C13" s="1302" t="s">
        <v>2657</v>
      </c>
      <c r="D13" s="1300">
        <v>1029448</v>
      </c>
      <c r="E13" s="1303"/>
      <c r="F13" s="1300">
        <v>143772</v>
      </c>
      <c r="G13" s="1304">
        <f t="shared" si="0"/>
        <v>885676</v>
      </c>
    </row>
    <row r="14" spans="1:8" ht="14.4" customHeight="1">
      <c r="A14" s="1299"/>
      <c r="B14" s="1301" t="s">
        <v>2658</v>
      </c>
      <c r="C14" s="1302" t="s">
        <v>2659</v>
      </c>
      <c r="D14" s="1300">
        <v>0</v>
      </c>
      <c r="E14" s="1303">
        <v>120200</v>
      </c>
      <c r="F14" s="1300">
        <v>0</v>
      </c>
      <c r="G14" s="1304">
        <f t="shared" si="0"/>
        <v>120200</v>
      </c>
    </row>
    <row r="15" spans="1:8" ht="14.4" customHeight="1">
      <c r="A15" s="1299"/>
      <c r="B15" s="1305" t="s">
        <v>2660</v>
      </c>
      <c r="C15" s="1302" t="s">
        <v>2661</v>
      </c>
      <c r="D15" s="1300">
        <v>891450</v>
      </c>
      <c r="E15" s="1303">
        <v>302500</v>
      </c>
      <c r="F15" s="1300">
        <v>61964</v>
      </c>
      <c r="G15" s="1304">
        <f t="shared" si="0"/>
        <v>1131986</v>
      </c>
    </row>
    <row r="16" spans="1:8" ht="14.4" customHeight="1">
      <c r="A16" s="1299"/>
      <c r="B16" s="1305" t="s">
        <v>2662</v>
      </c>
      <c r="C16" s="1306" t="s">
        <v>2663</v>
      </c>
      <c r="D16" s="1307">
        <v>57552</v>
      </c>
      <c r="E16" s="1308"/>
      <c r="F16" s="1307">
        <v>6792</v>
      </c>
      <c r="G16" s="1309">
        <f t="shared" si="0"/>
        <v>50760</v>
      </c>
    </row>
    <row r="17" spans="1:7" ht="14.4" customHeight="1">
      <c r="A17" s="1310"/>
      <c r="B17" s="1305" t="s">
        <v>2664</v>
      </c>
      <c r="C17" s="1306" t="s">
        <v>2665</v>
      </c>
      <c r="D17" s="1307">
        <v>53466</v>
      </c>
      <c r="E17" s="1308"/>
      <c r="F17" s="1307">
        <v>7584</v>
      </c>
      <c r="G17" s="1309">
        <f t="shared" si="0"/>
        <v>45882</v>
      </c>
    </row>
    <row r="18" spans="1:7" ht="14.4" customHeight="1">
      <c r="A18" s="1311">
        <v>2</v>
      </c>
      <c r="B18" s="1312"/>
      <c r="C18" s="1313" t="s">
        <v>2666</v>
      </c>
      <c r="D18" s="1314">
        <v>30306</v>
      </c>
      <c r="E18" s="1315"/>
      <c r="F18" s="1314">
        <v>11855</v>
      </c>
      <c r="G18" s="1314">
        <f t="shared" si="0"/>
        <v>18451</v>
      </c>
    </row>
    <row r="19" spans="1:7" ht="14.4" customHeight="1">
      <c r="A19" s="1316">
        <v>3</v>
      </c>
      <c r="B19" s="2405" t="s">
        <v>2667</v>
      </c>
      <c r="C19" s="2406"/>
      <c r="D19" s="1317">
        <f>+SUBTOTAL(9,D20:D23)</f>
        <v>10581972</v>
      </c>
      <c r="E19" s="1317">
        <f>+SUBTOTAL(9,E20:E23)</f>
        <v>295456</v>
      </c>
      <c r="F19" s="1317">
        <f>+SUBTOTAL(9,F20:F23)</f>
        <v>1112490</v>
      </c>
      <c r="G19" s="1318">
        <f>SUM(G20:G23)</f>
        <v>9764938</v>
      </c>
    </row>
    <row r="20" spans="1:7" ht="14.4" customHeight="1">
      <c r="A20" s="1299"/>
      <c r="B20" s="1301" t="s">
        <v>2644</v>
      </c>
      <c r="C20" s="1319" t="s">
        <v>2668</v>
      </c>
      <c r="D20" s="1300">
        <v>23003</v>
      </c>
      <c r="E20" s="1303"/>
      <c r="F20" s="1300">
        <v>9728</v>
      </c>
      <c r="G20" s="1304">
        <f>D20+E20-F20</f>
        <v>13275</v>
      </c>
    </row>
    <row r="21" spans="1:7" ht="14.4" customHeight="1">
      <c r="A21" s="1299"/>
      <c r="B21" s="1301" t="s">
        <v>2646</v>
      </c>
      <c r="C21" s="1319" t="s">
        <v>2669</v>
      </c>
      <c r="D21" s="1300">
        <v>6385085</v>
      </c>
      <c r="E21" s="1303">
        <v>63256</v>
      </c>
      <c r="F21" s="1300">
        <v>595809</v>
      </c>
      <c r="G21" s="1304">
        <f>D21+E21-F21</f>
        <v>5852532</v>
      </c>
    </row>
    <row r="22" spans="1:7" ht="14.4" customHeight="1">
      <c r="A22" s="1299"/>
      <c r="B22" s="1301" t="s">
        <v>2648</v>
      </c>
      <c r="C22" s="1319" t="s">
        <v>2670</v>
      </c>
      <c r="D22" s="1300">
        <v>54846</v>
      </c>
      <c r="E22" s="1303"/>
      <c r="F22" s="1300"/>
      <c r="G22" s="1304">
        <f>D22+E22-F22</f>
        <v>54846</v>
      </c>
    </row>
    <row r="23" spans="1:7" ht="14.4" customHeight="1">
      <c r="A23" s="1299"/>
      <c r="B23" s="1301" t="s">
        <v>2648</v>
      </c>
      <c r="C23" s="1302" t="s">
        <v>2671</v>
      </c>
      <c r="D23" s="1300">
        <v>4119038</v>
      </c>
      <c r="E23" s="1303">
        <v>232200</v>
      </c>
      <c r="F23" s="1300">
        <v>506953</v>
      </c>
      <c r="G23" s="1304">
        <f>D23+E23-F23</f>
        <v>3844285</v>
      </c>
    </row>
    <row r="24" spans="1:7" ht="14.4" customHeight="1">
      <c r="A24" s="2401" t="s">
        <v>279</v>
      </c>
      <c r="B24" s="2401"/>
      <c r="C24" s="2402"/>
      <c r="D24" s="1320">
        <f t="shared" ref="D24:E24" si="1">+SUBTOTAL(9,D6:D23)</f>
        <v>13075180</v>
      </c>
      <c r="E24" s="1320">
        <f t="shared" si="1"/>
        <v>760156</v>
      </c>
      <c r="F24" s="1320">
        <f>+F6+F18+F19</f>
        <v>1412285</v>
      </c>
      <c r="G24" s="1320">
        <f>+G6+G18+G19</f>
        <v>12423051</v>
      </c>
    </row>
    <row r="25" spans="1:7" s="1298" customFormat="1" ht="14.4" customHeight="1">
      <c r="A25" s="1294" t="s">
        <v>2672</v>
      </c>
      <c r="B25" s="1321"/>
      <c r="C25" s="1321"/>
      <c r="D25" s="1322" t="s">
        <v>2673</v>
      </c>
      <c r="E25" s="1322"/>
      <c r="F25" s="1322"/>
      <c r="G25" s="1322" t="s">
        <v>2674</v>
      </c>
    </row>
    <row r="26" spans="1:7" ht="14.4" customHeight="1">
      <c r="A26" s="2398" t="s">
        <v>2675</v>
      </c>
      <c r="B26" s="2399"/>
      <c r="C26" s="2400"/>
      <c r="D26" s="1323">
        <v>771723</v>
      </c>
      <c r="E26" s="1300"/>
      <c r="F26" s="1300">
        <v>144305</v>
      </c>
      <c r="G26" s="1304">
        <f t="shared" ref="G26:G31" si="2">D26+E26-F26</f>
        <v>627418</v>
      </c>
    </row>
    <row r="27" spans="1:7" ht="14.4" customHeight="1">
      <c r="A27" s="2398" t="s">
        <v>2676</v>
      </c>
      <c r="B27" s="2399"/>
      <c r="C27" s="2400"/>
      <c r="D27" s="1323">
        <v>430922</v>
      </c>
      <c r="E27" s="1300">
        <v>61400</v>
      </c>
      <c r="F27" s="1300">
        <v>52060</v>
      </c>
      <c r="G27" s="1304">
        <f t="shared" si="2"/>
        <v>440262</v>
      </c>
    </row>
    <row r="28" spans="1:7" ht="14.4" customHeight="1">
      <c r="A28" s="2398" t="s">
        <v>2677</v>
      </c>
      <c r="B28" s="2399"/>
      <c r="C28" s="2400"/>
      <c r="D28" s="1323">
        <v>0</v>
      </c>
      <c r="E28" s="1300"/>
      <c r="F28" s="1300"/>
      <c r="G28" s="1304">
        <f t="shared" si="2"/>
        <v>0</v>
      </c>
    </row>
    <row r="29" spans="1:7" ht="14.4" customHeight="1">
      <c r="A29" s="2398" t="s">
        <v>2678</v>
      </c>
      <c r="B29" s="2399"/>
      <c r="C29" s="2400"/>
      <c r="D29" s="1323">
        <v>6947361</v>
      </c>
      <c r="E29" s="1300">
        <v>211600</v>
      </c>
      <c r="F29" s="1300">
        <v>690329</v>
      </c>
      <c r="G29" s="1304">
        <f t="shared" si="2"/>
        <v>6468632</v>
      </c>
    </row>
    <row r="30" spans="1:7" ht="14.4" customHeight="1">
      <c r="A30" s="2398" t="s">
        <v>2679</v>
      </c>
      <c r="B30" s="2399"/>
      <c r="C30" s="2400"/>
      <c r="D30" s="1323">
        <v>264004</v>
      </c>
      <c r="E30" s="1300"/>
      <c r="F30" s="1300">
        <v>64510</v>
      </c>
      <c r="G30" s="1304">
        <f t="shared" si="2"/>
        <v>199494</v>
      </c>
    </row>
    <row r="31" spans="1:7" ht="14.4" customHeight="1">
      <c r="A31" s="2398" t="s">
        <v>2680</v>
      </c>
      <c r="B31" s="2399"/>
      <c r="C31" s="2400"/>
      <c r="D31" s="1323">
        <v>1525228</v>
      </c>
      <c r="E31" s="1300">
        <v>105000</v>
      </c>
      <c r="F31" s="1300">
        <v>498042</v>
      </c>
      <c r="G31" s="1324">
        <f t="shared" si="2"/>
        <v>1132186</v>
      </c>
    </row>
    <row r="32" spans="1:7" ht="14.4" customHeight="1">
      <c r="A32" s="2401" t="s">
        <v>279</v>
      </c>
      <c r="B32" s="2401"/>
      <c r="C32" s="2402"/>
      <c r="D32" s="1320">
        <f>+SUBTOTAL(9,D26:D31)</f>
        <v>9939238</v>
      </c>
      <c r="E32" s="1320">
        <f>+SUBTOTAL(9,E26:E31)</f>
        <v>378000</v>
      </c>
      <c r="F32" s="1320">
        <f>+SUBTOTAL(9,F26:F31)</f>
        <v>1449246</v>
      </c>
      <c r="G32" s="1320">
        <f>+SUBTOTAL(9,G26:G31)</f>
        <v>8867992</v>
      </c>
    </row>
    <row r="33" spans="1:7" ht="14.4" customHeight="1">
      <c r="A33" s="2403" t="s">
        <v>1556</v>
      </c>
      <c r="B33" s="2403"/>
      <c r="C33" s="2404"/>
      <c r="D33" s="1325">
        <f>+SUBTOTAL(9,D6:D32)</f>
        <v>23014418</v>
      </c>
      <c r="E33" s="1320">
        <f>+E24+E32</f>
        <v>1138156</v>
      </c>
      <c r="F33" s="1320">
        <f>+F24+F32</f>
        <v>2861531</v>
      </c>
      <c r="G33" s="1320">
        <f>+G24+G32</f>
        <v>21291043</v>
      </c>
    </row>
    <row r="34" spans="1:7" ht="16.8" customHeight="1">
      <c r="A34" s="1326" t="s">
        <v>2681</v>
      </c>
      <c r="B34" s="1326"/>
      <c r="C34" s="1326"/>
      <c r="D34" s="1326"/>
      <c r="E34" s="1326"/>
      <c r="F34" s="1326"/>
      <c r="G34" s="1326"/>
    </row>
  </sheetData>
  <mergeCells count="16">
    <mergeCell ref="G2:G3"/>
    <mergeCell ref="A30:C30"/>
    <mergeCell ref="A31:C31"/>
    <mergeCell ref="A32:C32"/>
    <mergeCell ref="A33:C33"/>
    <mergeCell ref="B19:C19"/>
    <mergeCell ref="A24:C24"/>
    <mergeCell ref="A26:C26"/>
    <mergeCell ref="A27:C27"/>
    <mergeCell ref="A28:C28"/>
    <mergeCell ref="A29:C29"/>
    <mergeCell ref="B6:C6"/>
    <mergeCell ref="A2:C4"/>
    <mergeCell ref="D2:D3"/>
    <mergeCell ref="E2:E3"/>
    <mergeCell ref="F2:F3"/>
  </mergeCells>
  <phoneticPr fontId="4"/>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BB76A-28FC-4364-AD78-5FA066E1B00B}">
  <sheetPr codeName="Sheet38">
    <pageSetUpPr fitToPage="1"/>
  </sheetPr>
  <dimension ref="A1:F21"/>
  <sheetViews>
    <sheetView zoomScaleNormal="100" workbookViewId="0"/>
  </sheetViews>
  <sheetFormatPr defaultColWidth="9" defaultRowHeight="10.8"/>
  <cols>
    <col min="1" max="1" width="12.59765625" style="583" customWidth="1"/>
    <col min="2" max="6" width="14.59765625" style="583" customWidth="1"/>
    <col min="7" max="16384" width="9" style="583"/>
  </cols>
  <sheetData>
    <row r="1" spans="1:6" ht="30" customHeight="1" thickBot="1">
      <c r="A1" s="582" t="s">
        <v>818</v>
      </c>
    </row>
    <row r="2" spans="1:6" ht="20.25" customHeight="1">
      <c r="A2" s="2416" t="s">
        <v>819</v>
      </c>
      <c r="B2" s="2418" t="s">
        <v>820</v>
      </c>
      <c r="C2" s="2418" t="s">
        <v>821</v>
      </c>
      <c r="D2" s="584" t="s">
        <v>822</v>
      </c>
      <c r="E2" s="2420" t="s">
        <v>823</v>
      </c>
      <c r="F2" s="2421"/>
    </row>
    <row r="3" spans="1:6" ht="20.25" customHeight="1">
      <c r="A3" s="2417"/>
      <c r="B3" s="2419"/>
      <c r="C3" s="2419"/>
      <c r="D3" s="585" t="s">
        <v>824</v>
      </c>
      <c r="E3" s="586" t="s">
        <v>825</v>
      </c>
      <c r="F3" s="586" t="s">
        <v>826</v>
      </c>
    </row>
    <row r="4" spans="1:6" ht="20.25" customHeight="1">
      <c r="A4" s="587"/>
      <c r="B4" s="588" t="s">
        <v>827</v>
      </c>
      <c r="C4" s="589" t="s">
        <v>828</v>
      </c>
      <c r="D4" s="588" t="s">
        <v>829</v>
      </c>
      <c r="E4" s="588" t="s">
        <v>830</v>
      </c>
      <c r="F4" s="589" t="s">
        <v>830</v>
      </c>
    </row>
    <row r="5" spans="1:6" ht="20.25" customHeight="1">
      <c r="A5" s="590" t="s">
        <v>831</v>
      </c>
      <c r="B5" s="591">
        <v>30260</v>
      </c>
      <c r="C5" s="591">
        <v>11609</v>
      </c>
      <c r="D5" s="591">
        <v>4389812</v>
      </c>
      <c r="E5" s="591">
        <v>145069.79510905486</v>
      </c>
      <c r="F5" s="591">
        <v>378138.68550262728</v>
      </c>
    </row>
    <row r="6" spans="1:6" ht="20.25" customHeight="1">
      <c r="A6" s="590">
        <v>23</v>
      </c>
      <c r="B6" s="591">
        <v>29978</v>
      </c>
      <c r="C6" s="591">
        <v>11639</v>
      </c>
      <c r="D6" s="591">
        <v>4225332</v>
      </c>
      <c r="E6" s="591">
        <v>140947.76169190739</v>
      </c>
      <c r="F6" s="591">
        <v>363032.21926282329</v>
      </c>
    </row>
    <row r="7" spans="1:6" ht="20.25" customHeight="1">
      <c r="A7" s="590">
        <v>24</v>
      </c>
      <c r="B7" s="591">
        <v>30024</v>
      </c>
      <c r="C7" s="591">
        <v>11825</v>
      </c>
      <c r="D7" s="591">
        <v>4125179</v>
      </c>
      <c r="E7" s="591">
        <v>137396.04982680522</v>
      </c>
      <c r="F7" s="591">
        <v>348852.34672304441</v>
      </c>
    </row>
    <row r="8" spans="1:6" ht="20.25" customHeight="1">
      <c r="A8" s="590">
        <v>25</v>
      </c>
      <c r="B8" s="592">
        <v>29605</v>
      </c>
      <c r="C8" s="593">
        <v>11791</v>
      </c>
      <c r="D8" s="593">
        <v>4120231</v>
      </c>
      <c r="E8" s="593">
        <v>139173.48420874853</v>
      </c>
      <c r="F8" s="593">
        <v>349438.63964040368</v>
      </c>
    </row>
    <row r="9" spans="1:6" ht="20.25" customHeight="1">
      <c r="A9" s="590">
        <v>26</v>
      </c>
      <c r="B9" s="592">
        <v>29328</v>
      </c>
      <c r="C9" s="593">
        <v>11825</v>
      </c>
      <c r="D9" s="593">
        <v>4170687</v>
      </c>
      <c r="E9" s="593">
        <v>142208.3674304419</v>
      </c>
      <c r="F9" s="593">
        <v>352700.80338266387</v>
      </c>
    </row>
    <row r="10" spans="1:6" ht="20.25" customHeight="1">
      <c r="A10" s="590">
        <v>27</v>
      </c>
      <c r="B10" s="592">
        <v>28962</v>
      </c>
      <c r="C10" s="593">
        <v>11828</v>
      </c>
      <c r="D10" s="593">
        <v>4120263</v>
      </c>
      <c r="E10" s="593">
        <v>142264.4499689248</v>
      </c>
      <c r="F10" s="593">
        <v>348348.24146094016</v>
      </c>
    </row>
    <row r="11" spans="1:6" ht="20.25" customHeight="1">
      <c r="A11" s="590">
        <v>28</v>
      </c>
      <c r="B11" s="592">
        <v>28517</v>
      </c>
      <c r="C11" s="593">
        <v>11844</v>
      </c>
      <c r="D11" s="593">
        <v>4158427</v>
      </c>
      <c r="E11" s="593">
        <v>145822.73731458429</v>
      </c>
      <c r="F11" s="593">
        <v>351099.88179669029</v>
      </c>
    </row>
    <row r="12" spans="1:6" ht="20.25" customHeight="1">
      <c r="A12" s="590">
        <v>29</v>
      </c>
      <c r="B12" s="592">
        <v>28124</v>
      </c>
      <c r="C12" s="593">
        <v>11871</v>
      </c>
      <c r="D12" s="593">
        <v>4232687</v>
      </c>
      <c r="E12" s="593">
        <v>150500</v>
      </c>
      <c r="F12" s="593">
        <v>356556</v>
      </c>
    </row>
    <row r="13" spans="1:6" ht="20.25" customHeight="1">
      <c r="A13" s="590">
        <v>30</v>
      </c>
      <c r="B13" s="592">
        <v>27741</v>
      </c>
      <c r="C13" s="593">
        <v>11910</v>
      </c>
      <c r="D13" s="593">
        <v>4249574</v>
      </c>
      <c r="E13" s="593">
        <v>153187</v>
      </c>
      <c r="F13" s="593">
        <v>356807</v>
      </c>
    </row>
    <row r="14" spans="1:6" ht="20.25" customHeight="1">
      <c r="A14" s="590">
        <v>31</v>
      </c>
      <c r="B14" s="592">
        <v>27356</v>
      </c>
      <c r="C14" s="593">
        <v>11893</v>
      </c>
      <c r="D14" s="593">
        <v>4298922</v>
      </c>
      <c r="E14" s="593">
        <v>157147</v>
      </c>
      <c r="F14" s="593">
        <v>361466</v>
      </c>
    </row>
    <row r="15" spans="1:6" ht="20.25" customHeight="1">
      <c r="A15" s="590" t="s">
        <v>832</v>
      </c>
      <c r="B15" s="592">
        <v>26899</v>
      </c>
      <c r="C15" s="593">
        <v>11899</v>
      </c>
      <c r="D15" s="593">
        <v>4143665</v>
      </c>
      <c r="E15" s="593">
        <v>154045</v>
      </c>
      <c r="F15" s="593">
        <v>348236</v>
      </c>
    </row>
    <row r="16" spans="1:6" ht="20.25" customHeight="1">
      <c r="A16" s="590">
        <v>3</v>
      </c>
      <c r="B16" s="592">
        <v>26497</v>
      </c>
      <c r="C16" s="593">
        <v>11900</v>
      </c>
      <c r="D16" s="593">
        <v>4091319</v>
      </c>
      <c r="E16" s="593">
        <v>154406</v>
      </c>
      <c r="F16" s="593">
        <v>343808</v>
      </c>
    </row>
    <row r="17" spans="1:6" ht="20.25" customHeight="1">
      <c r="A17" s="590">
        <v>4</v>
      </c>
      <c r="B17" s="592">
        <v>26149</v>
      </c>
      <c r="C17" s="593">
        <v>11964</v>
      </c>
      <c r="D17" s="593">
        <v>4292166</v>
      </c>
      <c r="E17" s="593">
        <v>164142</v>
      </c>
      <c r="F17" s="593">
        <v>358756</v>
      </c>
    </row>
    <row r="18" spans="1:6" ht="20.25" customHeight="1">
      <c r="A18" s="590">
        <v>5</v>
      </c>
      <c r="B18" s="592">
        <v>25798</v>
      </c>
      <c r="C18" s="594">
        <v>12011</v>
      </c>
      <c r="D18" s="593">
        <v>4394283</v>
      </c>
      <c r="E18" s="593">
        <v>170334</v>
      </c>
      <c r="F18" s="593">
        <v>365855</v>
      </c>
    </row>
    <row r="19" spans="1:6" s="1162" customFormat="1" ht="20.25" customHeight="1" thickBot="1">
      <c r="A19" s="1156"/>
      <c r="B19" s="1157"/>
      <c r="C19" s="1158"/>
      <c r="D19" s="1159"/>
      <c r="E19" s="1160"/>
      <c r="F19" s="1161"/>
    </row>
    <row r="20" spans="1:6" ht="20.25" customHeight="1">
      <c r="A20" s="583" t="s">
        <v>833</v>
      </c>
      <c r="B20" s="583" t="s">
        <v>834</v>
      </c>
    </row>
    <row r="21" spans="1:6" ht="20.25" customHeight="1"/>
  </sheetData>
  <mergeCells count="4">
    <mergeCell ref="A2:A3"/>
    <mergeCell ref="B2:B3"/>
    <mergeCell ref="C2:C3"/>
    <mergeCell ref="E2:F2"/>
  </mergeCells>
  <phoneticPr fontId="4"/>
  <printOptions horizontalCentered="1"/>
  <pageMargins left="0.78740157480314965" right="0.78740157480314965" top="0.98425196850393704" bottom="0.98425196850393704" header="0.51181102362204722" footer="0.51181102362204722"/>
  <pageSetup paperSize="9" scale="91" fitToHeight="0"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9237-5B2D-494C-B348-BF48842F725A}">
  <sheetPr codeName="Sheet93"/>
  <dimension ref="A1:K21"/>
  <sheetViews>
    <sheetView workbookViewId="0"/>
  </sheetViews>
  <sheetFormatPr defaultColWidth="8.09765625" defaultRowHeight="10.8"/>
  <cols>
    <col min="1" max="1" width="8.09765625" style="1201"/>
    <col min="2" max="3" width="11.796875" style="408" customWidth="1"/>
    <col min="4" max="4" width="11.796875" style="408" hidden="1" customWidth="1"/>
    <col min="5" max="6" width="11.796875" style="408" customWidth="1"/>
    <col min="7" max="7" width="10.09765625" style="1201" customWidth="1"/>
    <col min="8" max="16384" width="8.09765625" style="1201"/>
  </cols>
  <sheetData>
    <row r="1" spans="1:11" ht="30" customHeight="1" thickBot="1">
      <c r="A1" s="1200" t="s">
        <v>2682</v>
      </c>
    </row>
    <row r="2" spans="1:11" ht="21.6">
      <c r="A2" s="1327" t="s">
        <v>2571</v>
      </c>
      <c r="B2" s="1328" t="s">
        <v>2683</v>
      </c>
      <c r="C2" s="1328" t="s">
        <v>2684</v>
      </c>
      <c r="D2" s="1328" t="s">
        <v>2685</v>
      </c>
      <c r="E2" s="1329" t="s">
        <v>2686</v>
      </c>
      <c r="F2" s="1329" t="s">
        <v>2687</v>
      </c>
      <c r="G2" s="1330" t="s">
        <v>2688</v>
      </c>
    </row>
    <row r="3" spans="1:11">
      <c r="A3" s="1331"/>
      <c r="B3" s="1118" t="s">
        <v>1517</v>
      </c>
      <c r="C3" s="1118" t="s">
        <v>1517</v>
      </c>
      <c r="D3" s="1118" t="s">
        <v>1517</v>
      </c>
      <c r="E3" s="1118" t="s">
        <v>1517</v>
      </c>
      <c r="F3" s="1118" t="s">
        <v>1517</v>
      </c>
      <c r="G3" s="1332"/>
    </row>
    <row r="4" spans="1:11" hidden="1">
      <c r="A4" s="1331" t="s">
        <v>2612</v>
      </c>
      <c r="B4" s="1333">
        <v>8892233</v>
      </c>
      <c r="C4" s="1333">
        <v>3796404</v>
      </c>
      <c r="D4" s="229" t="s">
        <v>305</v>
      </c>
      <c r="E4" s="1333">
        <v>5095829</v>
      </c>
      <c r="F4" s="1333">
        <v>5087832</v>
      </c>
      <c r="G4" s="1334">
        <v>0.47499999999999998</v>
      </c>
      <c r="K4" s="1261"/>
    </row>
    <row r="5" spans="1:11" hidden="1">
      <c r="A5" s="1331">
        <v>22</v>
      </c>
      <c r="B5" s="1333">
        <v>9107818</v>
      </c>
      <c r="C5" s="1333">
        <v>3544991</v>
      </c>
      <c r="D5" s="229" t="s">
        <v>305</v>
      </c>
      <c r="E5" s="1333">
        <v>5562827</v>
      </c>
      <c r="F5" s="1333">
        <v>5555364</v>
      </c>
      <c r="G5" s="1334">
        <v>0.44700000000000001</v>
      </c>
      <c r="K5" s="1261"/>
    </row>
    <row r="6" spans="1:11" hidden="1">
      <c r="A6" s="1331">
        <v>23</v>
      </c>
      <c r="B6" s="1333">
        <v>9216634</v>
      </c>
      <c r="C6" s="1333">
        <v>3687438</v>
      </c>
      <c r="D6" s="229" t="s">
        <v>305</v>
      </c>
      <c r="E6" s="1333">
        <v>5529196</v>
      </c>
      <c r="F6" s="1333">
        <v>5529196</v>
      </c>
      <c r="G6" s="1334">
        <v>0.42799999999999999</v>
      </c>
      <c r="K6" s="1261"/>
    </row>
    <row r="7" spans="1:11" hidden="1">
      <c r="A7" s="1331">
        <v>24</v>
      </c>
      <c r="B7" s="1333">
        <v>9226928</v>
      </c>
      <c r="C7" s="1333">
        <v>3595485</v>
      </c>
      <c r="D7" s="229" t="s">
        <v>305</v>
      </c>
      <c r="E7" s="1333">
        <v>5631443</v>
      </c>
      <c r="F7" s="1333">
        <v>5614799</v>
      </c>
      <c r="G7" s="1334">
        <v>0.41899999999999998</v>
      </c>
      <c r="K7" s="1261"/>
    </row>
    <row r="8" spans="1:11" hidden="1">
      <c r="A8" s="1331">
        <v>25</v>
      </c>
      <c r="B8" s="1333">
        <v>9148975</v>
      </c>
      <c r="C8" s="1333">
        <v>3513350</v>
      </c>
      <c r="D8" s="229" t="s">
        <v>305</v>
      </c>
      <c r="E8" s="1333">
        <v>5635625</v>
      </c>
      <c r="F8" s="1333">
        <v>5635625</v>
      </c>
      <c r="G8" s="1334">
        <v>0.42</v>
      </c>
      <c r="K8" s="1261"/>
    </row>
    <row r="9" spans="1:11" hidden="1">
      <c r="A9" s="1331">
        <v>26</v>
      </c>
      <c r="B9" s="1333">
        <v>9098698</v>
      </c>
      <c r="C9" s="1333">
        <v>3523786</v>
      </c>
      <c r="D9" s="229" t="s">
        <v>305</v>
      </c>
      <c r="E9" s="1333">
        <v>5574912</v>
      </c>
      <c r="F9" s="1333">
        <v>5574912</v>
      </c>
      <c r="G9" s="1334">
        <v>0.41</v>
      </c>
      <c r="K9" s="1261"/>
    </row>
    <row r="10" spans="1:11" ht="19.8" customHeight="1">
      <c r="A10" s="1331" t="s">
        <v>1831</v>
      </c>
      <c r="B10" s="1333">
        <v>9196559</v>
      </c>
      <c r="C10" s="1333">
        <v>3644839</v>
      </c>
      <c r="D10" s="229" t="s">
        <v>305</v>
      </c>
      <c r="E10" s="1333">
        <f>+B10-C10</f>
        <v>5551720</v>
      </c>
      <c r="F10" s="1333">
        <v>5551720</v>
      </c>
      <c r="G10" s="1334">
        <v>0.41</v>
      </c>
      <c r="K10" s="1261"/>
    </row>
    <row r="11" spans="1:11" ht="19.8" customHeight="1">
      <c r="A11" s="1331">
        <v>28</v>
      </c>
      <c r="B11" s="1333">
        <v>9150392</v>
      </c>
      <c r="C11" s="1333">
        <v>3753897</v>
      </c>
      <c r="D11" s="1333">
        <v>32430</v>
      </c>
      <c r="E11" s="1333">
        <f t="shared" ref="E11:E18" si="0">+B11-C11</f>
        <v>5396495</v>
      </c>
      <c r="F11" s="1333">
        <v>5356564</v>
      </c>
      <c r="G11" s="1334">
        <v>0.42</v>
      </c>
      <c r="K11" s="1261"/>
    </row>
    <row r="12" spans="1:11" ht="19.8" customHeight="1">
      <c r="A12" s="1331">
        <v>29</v>
      </c>
      <c r="B12" s="1333">
        <v>8724681</v>
      </c>
      <c r="C12" s="1333">
        <v>3767220</v>
      </c>
      <c r="D12" s="1333">
        <v>4957461</v>
      </c>
      <c r="E12" s="1333">
        <f t="shared" si="0"/>
        <v>4957461</v>
      </c>
      <c r="F12" s="1333">
        <v>4950578</v>
      </c>
      <c r="G12" s="1334">
        <v>0.43</v>
      </c>
      <c r="K12" s="1261"/>
    </row>
    <row r="13" spans="1:11" ht="19.8" customHeight="1">
      <c r="A13" s="1331">
        <v>30</v>
      </c>
      <c r="B13" s="1333">
        <v>8588864</v>
      </c>
      <c r="C13" s="1333">
        <v>3797758</v>
      </c>
      <c r="D13" s="1333">
        <v>4791106</v>
      </c>
      <c r="E13" s="1333">
        <f t="shared" si="0"/>
        <v>4791106</v>
      </c>
      <c r="F13" s="1333">
        <v>4791106</v>
      </c>
      <c r="G13" s="1334">
        <v>0.44</v>
      </c>
      <c r="K13" s="1261"/>
    </row>
    <row r="14" spans="1:11" ht="19.8" customHeight="1">
      <c r="A14" s="1331" t="s">
        <v>1638</v>
      </c>
      <c r="B14" s="1339">
        <v>8672017</v>
      </c>
      <c r="C14" s="1339">
        <v>3835856</v>
      </c>
      <c r="D14" s="1339"/>
      <c r="E14" s="1339">
        <f t="shared" si="0"/>
        <v>4836161</v>
      </c>
      <c r="F14" s="1339">
        <v>4828524</v>
      </c>
      <c r="G14" s="1340">
        <v>0.44</v>
      </c>
      <c r="K14" s="1261"/>
    </row>
    <row r="15" spans="1:11" ht="19.8" customHeight="1">
      <c r="A15" s="1331">
        <v>2</v>
      </c>
      <c r="B15" s="1339">
        <v>8925775</v>
      </c>
      <c r="C15" s="1339">
        <v>3975771</v>
      </c>
      <c r="D15" s="1339"/>
      <c r="E15" s="1339">
        <f t="shared" si="0"/>
        <v>4950004</v>
      </c>
      <c r="F15" s="1339">
        <v>4945444</v>
      </c>
      <c r="G15" s="1340">
        <v>0.45</v>
      </c>
      <c r="K15" s="1261"/>
    </row>
    <row r="16" spans="1:11" ht="19.8" customHeight="1">
      <c r="A16" s="1331">
        <v>3</v>
      </c>
      <c r="B16" s="1339">
        <v>9185767</v>
      </c>
      <c r="C16" s="1339">
        <v>3812659</v>
      </c>
      <c r="D16" s="1339"/>
      <c r="E16" s="1339">
        <f t="shared" si="0"/>
        <v>5373108</v>
      </c>
      <c r="F16" s="1339">
        <v>5373108</v>
      </c>
      <c r="G16" s="1340">
        <v>0.44</v>
      </c>
      <c r="K16" s="1261"/>
    </row>
    <row r="17" spans="1:11" ht="19.8" customHeight="1">
      <c r="A17" s="1331">
        <v>4</v>
      </c>
      <c r="B17" s="1339">
        <v>9141944</v>
      </c>
      <c r="C17" s="1339">
        <v>4031038</v>
      </c>
      <c r="D17" s="1339"/>
      <c r="E17" s="1339">
        <f t="shared" si="0"/>
        <v>5110906</v>
      </c>
      <c r="F17" s="1339">
        <v>5110906</v>
      </c>
      <c r="G17" s="1340">
        <v>0.44</v>
      </c>
      <c r="K17" s="1261"/>
    </row>
    <row r="18" spans="1:11" ht="19.8" customHeight="1" thickBot="1">
      <c r="A18" s="1335">
        <v>5</v>
      </c>
      <c r="B18" s="1341">
        <v>9213925</v>
      </c>
      <c r="C18" s="1341">
        <v>4154524</v>
      </c>
      <c r="D18" s="1341"/>
      <c r="E18" s="1341">
        <f t="shared" si="0"/>
        <v>5059401</v>
      </c>
      <c r="F18" s="1341">
        <v>5059401</v>
      </c>
      <c r="G18" s="1342">
        <v>0.44</v>
      </c>
    </row>
    <row r="19" spans="1:11" ht="16.8" customHeight="1">
      <c r="A19" s="1336" t="s">
        <v>2689</v>
      </c>
      <c r="C19" s="1201"/>
      <c r="D19" s="1201"/>
    </row>
    <row r="20" spans="1:11">
      <c r="B20" s="1337"/>
      <c r="C20" s="1337"/>
      <c r="D20" s="1337"/>
      <c r="E20" s="1337"/>
      <c r="F20" s="1337"/>
      <c r="G20" s="1338"/>
    </row>
    <row r="21" spans="1:11">
      <c r="B21" s="1337"/>
      <c r="C21" s="1337"/>
      <c r="D21" s="1337"/>
      <c r="E21" s="1337"/>
      <c r="F21" s="1337"/>
      <c r="G21" s="1338"/>
    </row>
  </sheetData>
  <phoneticPr fontId="4"/>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3FB8-8C3B-4BAA-B1A8-A9336A2A4ADC}">
  <sheetPr codeName="Sheet94"/>
  <dimension ref="A1:R20"/>
  <sheetViews>
    <sheetView zoomScaleNormal="100" workbookViewId="0">
      <selection activeCell="J3" sqref="J3"/>
    </sheetView>
  </sheetViews>
  <sheetFormatPr defaultColWidth="8.09765625" defaultRowHeight="18"/>
  <cols>
    <col min="1" max="1" width="2.09765625" style="1494" customWidth="1"/>
    <col min="2" max="2" width="13.59765625" style="1494" customWidth="1"/>
    <col min="3" max="3" width="9.59765625" style="1494" customWidth="1"/>
    <col min="4" max="6" width="8.296875" style="1494" customWidth="1"/>
    <col min="7" max="7" width="9.59765625" style="1494" customWidth="1"/>
    <col min="8" max="8" width="8.296875" style="1494" customWidth="1"/>
    <col min="9" max="9" width="9.59765625" style="1494" customWidth="1"/>
    <col min="10" max="10" width="8.296875" style="1494" customWidth="1"/>
    <col min="11" max="11" width="9.59765625" style="1494" customWidth="1"/>
    <col min="12" max="12" width="8.296875" style="1494" customWidth="1"/>
    <col min="13" max="13" width="9.59765625" style="1494" customWidth="1"/>
    <col min="14" max="14" width="8.296875" style="1494" customWidth="1"/>
    <col min="15" max="15" width="9.59765625" style="1494" customWidth="1"/>
    <col min="16" max="16" width="8.296875" style="1494" customWidth="1"/>
    <col min="17" max="17" width="9.59765625" style="1494" customWidth="1"/>
    <col min="18" max="18" width="8.296875" style="1494" customWidth="1"/>
    <col min="19" max="16384" width="8.09765625" style="1494"/>
  </cols>
  <sheetData>
    <row r="1" spans="1:14" ht="30" customHeight="1" thickBot="1">
      <c r="A1" s="2141" t="s">
        <v>3401</v>
      </c>
      <c r="B1" s="2141"/>
      <c r="C1" s="2141"/>
    </row>
    <row r="2" spans="1:14" s="1201" customFormat="1" ht="14.4" customHeight="1">
      <c r="A2" s="2394" t="s">
        <v>3402</v>
      </c>
      <c r="B2" s="2388"/>
      <c r="C2" s="2387" t="s">
        <v>41</v>
      </c>
      <c r="D2" s="2394"/>
      <c r="E2" s="2387" t="s">
        <v>1638</v>
      </c>
      <c r="F2" s="2388"/>
      <c r="G2" s="2387" t="s">
        <v>43</v>
      </c>
      <c r="H2" s="2388"/>
      <c r="I2" s="2394" t="s">
        <v>44</v>
      </c>
      <c r="J2" s="2388"/>
      <c r="K2" s="2394" t="s">
        <v>45</v>
      </c>
      <c r="L2" s="2388"/>
      <c r="M2" s="2394" t="s">
        <v>46</v>
      </c>
      <c r="N2" s="2422"/>
    </row>
    <row r="3" spans="1:14" s="1201" customFormat="1" ht="14.4" customHeight="1">
      <c r="A3" s="2424" t="s">
        <v>3403</v>
      </c>
      <c r="B3" s="2425"/>
      <c r="C3" s="1427" t="s">
        <v>3404</v>
      </c>
      <c r="D3" s="1459" t="s">
        <v>3405</v>
      </c>
      <c r="E3" s="1427" t="s">
        <v>3404</v>
      </c>
      <c r="F3" s="2154" t="s">
        <v>3405</v>
      </c>
      <c r="G3" s="2152" t="s">
        <v>3404</v>
      </c>
      <c r="H3" s="2154" t="s">
        <v>3405</v>
      </c>
      <c r="I3" s="2152" t="s">
        <v>3404</v>
      </c>
      <c r="J3" s="2153" t="s">
        <v>3405</v>
      </c>
      <c r="K3" s="2152" t="s">
        <v>3404</v>
      </c>
      <c r="L3" s="2153" t="s">
        <v>3405</v>
      </c>
      <c r="M3" s="2152" t="s">
        <v>3404</v>
      </c>
      <c r="N3" s="1905" t="s">
        <v>3405</v>
      </c>
    </row>
    <row r="4" spans="1:14" s="1201" customFormat="1" ht="10.8">
      <c r="B4" s="1460"/>
      <c r="C4" s="1466" t="s">
        <v>1471</v>
      </c>
      <c r="D4" s="1463" t="s">
        <v>1471</v>
      </c>
      <c r="E4" s="1466" t="s">
        <v>3406</v>
      </c>
      <c r="F4" s="1466" t="s">
        <v>3406</v>
      </c>
      <c r="G4" s="1462" t="s">
        <v>1471</v>
      </c>
      <c r="H4" s="1466" t="s">
        <v>1471</v>
      </c>
      <c r="I4" s="1462" t="s">
        <v>1471</v>
      </c>
      <c r="J4" s="1462" t="s">
        <v>1471</v>
      </c>
      <c r="K4" s="1462" t="s">
        <v>1471</v>
      </c>
      <c r="L4" s="1462" t="s">
        <v>1471</v>
      </c>
      <c r="M4" s="1462" t="s">
        <v>1471</v>
      </c>
      <c r="N4" s="1906" t="s">
        <v>1471</v>
      </c>
    </row>
    <row r="5" spans="1:14" s="1201" customFormat="1" ht="19.8" customHeight="1">
      <c r="A5" s="2426" t="s">
        <v>3407</v>
      </c>
      <c r="B5" s="2427"/>
      <c r="C5" s="111">
        <v>5737152</v>
      </c>
      <c r="D5" s="349">
        <v>236213</v>
      </c>
      <c r="E5" s="111">
        <v>5737152</v>
      </c>
      <c r="F5" s="111">
        <v>236213</v>
      </c>
      <c r="G5" s="2149">
        <v>5737152</v>
      </c>
      <c r="H5" s="111">
        <v>236213</v>
      </c>
      <c r="I5" s="2149">
        <v>5739664</v>
      </c>
      <c r="J5" s="111">
        <v>236262</v>
      </c>
      <c r="K5" s="2149">
        <v>5726772</v>
      </c>
      <c r="L5" s="111">
        <v>233499</v>
      </c>
      <c r="M5" s="324">
        <v>5721244</v>
      </c>
      <c r="N5" s="1907">
        <v>233186</v>
      </c>
    </row>
    <row r="6" spans="1:14" s="1201" customFormat="1" ht="19.8" customHeight="1">
      <c r="A6" s="1908"/>
      <c r="B6" s="1908" t="s">
        <v>3408</v>
      </c>
      <c r="C6" s="111">
        <v>24157</v>
      </c>
      <c r="D6" s="124">
        <v>10759</v>
      </c>
      <c r="E6" s="111">
        <v>24157</v>
      </c>
      <c r="F6" s="111">
        <v>10759</v>
      </c>
      <c r="G6" s="2149">
        <v>24157</v>
      </c>
      <c r="H6" s="111">
        <v>10759</v>
      </c>
      <c r="I6" s="2149">
        <v>24156.58</v>
      </c>
      <c r="J6" s="2149">
        <v>10759.22</v>
      </c>
      <c r="K6" s="2149">
        <v>24156.58</v>
      </c>
      <c r="L6" s="2149">
        <v>10759.22</v>
      </c>
      <c r="M6" s="324">
        <v>24156.58</v>
      </c>
      <c r="N6" s="1909">
        <v>10759.22</v>
      </c>
    </row>
    <row r="7" spans="1:14" s="1201" customFormat="1" ht="19.8" customHeight="1">
      <c r="A7" s="1908"/>
      <c r="B7" s="1908" t="s">
        <v>3409</v>
      </c>
      <c r="C7" s="111">
        <v>2778</v>
      </c>
      <c r="D7" s="124">
        <v>1337</v>
      </c>
      <c r="E7" s="111">
        <v>2778</v>
      </c>
      <c r="F7" s="111">
        <v>1337</v>
      </c>
      <c r="G7" s="2149">
        <v>2778</v>
      </c>
      <c r="H7" s="111">
        <v>1337</v>
      </c>
      <c r="I7" s="2149">
        <v>2874.87</v>
      </c>
      <c r="J7" s="2149">
        <v>1294.17</v>
      </c>
      <c r="K7" s="2149">
        <v>2921.32</v>
      </c>
      <c r="L7" s="2149">
        <v>1314.83</v>
      </c>
      <c r="M7" s="324">
        <v>2921.32</v>
      </c>
      <c r="N7" s="1909">
        <v>1382.39</v>
      </c>
    </row>
    <row r="8" spans="1:14" s="1201" customFormat="1" ht="19.8" customHeight="1">
      <c r="A8" s="1908"/>
      <c r="B8" s="1908" t="s">
        <v>3410</v>
      </c>
      <c r="C8" s="1118">
        <v>8645</v>
      </c>
      <c r="D8" s="350">
        <v>2989</v>
      </c>
      <c r="E8" s="1118">
        <v>8645</v>
      </c>
      <c r="F8" s="2150">
        <v>2989</v>
      </c>
      <c r="G8" s="2151">
        <v>8645</v>
      </c>
      <c r="H8" s="2150">
        <v>2989</v>
      </c>
      <c r="I8" s="2151">
        <v>8644.85</v>
      </c>
      <c r="J8" s="2150">
        <v>2989</v>
      </c>
      <c r="K8" s="2151">
        <v>8644.85</v>
      </c>
      <c r="L8" s="2150">
        <v>2989</v>
      </c>
      <c r="M8" s="1279">
        <v>8644.85</v>
      </c>
      <c r="N8" s="1910">
        <v>2989</v>
      </c>
    </row>
    <row r="9" spans="1:14" s="1201" customFormat="1" ht="19.8" customHeight="1">
      <c r="A9" s="1908"/>
      <c r="B9" s="1908" t="s">
        <v>3411</v>
      </c>
      <c r="C9" s="111">
        <v>298482</v>
      </c>
      <c r="D9" s="124">
        <v>67194</v>
      </c>
      <c r="E9" s="111">
        <v>298482</v>
      </c>
      <c r="F9" s="111">
        <v>67194</v>
      </c>
      <c r="G9" s="2149">
        <v>298482</v>
      </c>
      <c r="H9" s="111">
        <v>67194</v>
      </c>
      <c r="I9" s="2149">
        <v>297776.26</v>
      </c>
      <c r="J9" s="2149">
        <v>67067.009999999995</v>
      </c>
      <c r="K9" s="2149">
        <v>297776.26</v>
      </c>
      <c r="L9" s="2149">
        <v>67067.009999999995</v>
      </c>
      <c r="M9" s="324">
        <v>296244.46999999997</v>
      </c>
      <c r="N9" s="1909">
        <v>67005.05</v>
      </c>
    </row>
    <row r="10" spans="1:14" s="1201" customFormat="1" ht="19.8" customHeight="1">
      <c r="A10" s="1908"/>
      <c r="B10" s="1908" t="s">
        <v>3412</v>
      </c>
      <c r="C10" s="111">
        <v>153836</v>
      </c>
      <c r="D10" s="124">
        <v>30992</v>
      </c>
      <c r="E10" s="111">
        <v>153836</v>
      </c>
      <c r="F10" s="111">
        <v>30992</v>
      </c>
      <c r="G10" s="2149">
        <v>153836</v>
      </c>
      <c r="H10" s="111">
        <v>30992</v>
      </c>
      <c r="I10" s="2149">
        <v>153836.12</v>
      </c>
      <c r="J10" s="2149">
        <v>31150.799999999999</v>
      </c>
      <c r="K10" s="2149">
        <v>124250.59</v>
      </c>
      <c r="L10" s="2149">
        <v>31150.799999999999</v>
      </c>
      <c r="M10" s="324">
        <v>122542.81</v>
      </c>
      <c r="N10" s="1909">
        <v>30832.25</v>
      </c>
    </row>
    <row r="11" spans="1:14" s="1201" customFormat="1" ht="19.8" customHeight="1">
      <c r="A11" s="1908"/>
      <c r="B11" s="1908" t="s">
        <v>3413</v>
      </c>
      <c r="C11" s="111">
        <v>363699</v>
      </c>
      <c r="D11" s="124">
        <v>616</v>
      </c>
      <c r="E11" s="111">
        <v>363699</v>
      </c>
      <c r="F11" s="111">
        <v>616</v>
      </c>
      <c r="G11" s="2149">
        <v>363699</v>
      </c>
      <c r="H11" s="111">
        <v>616</v>
      </c>
      <c r="I11" s="2149">
        <v>363699.01</v>
      </c>
      <c r="J11" s="2149">
        <v>616.39</v>
      </c>
      <c r="K11" s="2149">
        <v>363699.01</v>
      </c>
      <c r="L11" s="2149">
        <v>616.39</v>
      </c>
      <c r="M11" s="324">
        <v>363699.01</v>
      </c>
      <c r="N11" s="1909">
        <v>616.39</v>
      </c>
    </row>
    <row r="12" spans="1:14" s="1201" customFormat="1" ht="19.8" customHeight="1">
      <c r="A12" s="1908"/>
      <c r="B12" s="1908" t="s">
        <v>3414</v>
      </c>
      <c r="C12" s="111">
        <v>4885555</v>
      </c>
      <c r="D12" s="124">
        <v>122326</v>
      </c>
      <c r="E12" s="111">
        <v>4885555</v>
      </c>
      <c r="F12" s="111">
        <v>122326</v>
      </c>
      <c r="G12" s="2149">
        <v>4885555</v>
      </c>
      <c r="H12" s="111">
        <v>122326</v>
      </c>
      <c r="I12" s="2149">
        <v>4888676.41</v>
      </c>
      <c r="J12" s="2149">
        <v>122385.32</v>
      </c>
      <c r="K12" s="2149">
        <v>4905273.53</v>
      </c>
      <c r="L12" s="2149">
        <v>119601.31</v>
      </c>
      <c r="M12" s="324">
        <v>4903034.79</v>
      </c>
      <c r="N12" s="1909">
        <v>119601.31</v>
      </c>
    </row>
    <row r="13" spans="1:14" s="1201" customFormat="1" ht="19.8" customHeight="1">
      <c r="A13" s="2426" t="s">
        <v>3415</v>
      </c>
      <c r="B13" s="2427"/>
      <c r="C13" s="111">
        <v>8568602</v>
      </c>
      <c r="D13" s="349">
        <v>5290</v>
      </c>
      <c r="E13" s="111">
        <v>8568602</v>
      </c>
      <c r="F13" s="111">
        <v>5290</v>
      </c>
      <c r="G13" s="2149">
        <v>8568602</v>
      </c>
      <c r="H13" s="111">
        <v>5290</v>
      </c>
      <c r="I13" s="2149">
        <v>8574508</v>
      </c>
      <c r="J13" s="111">
        <v>5417</v>
      </c>
      <c r="K13" s="2149">
        <v>8591693</v>
      </c>
      <c r="L13" s="111">
        <v>5623</v>
      </c>
      <c r="M13" s="324">
        <v>8595406</v>
      </c>
      <c r="N13" s="1907">
        <v>5623</v>
      </c>
    </row>
    <row r="14" spans="1:14" s="1201" customFormat="1" ht="19.8" customHeight="1">
      <c r="A14" s="1908"/>
      <c r="B14" s="1908" t="s">
        <v>3416</v>
      </c>
      <c r="C14" s="111">
        <v>80315</v>
      </c>
      <c r="D14" s="124">
        <v>2398</v>
      </c>
      <c r="E14" s="111">
        <v>80315</v>
      </c>
      <c r="F14" s="111">
        <v>2398</v>
      </c>
      <c r="G14" s="2149">
        <v>80315</v>
      </c>
      <c r="H14" s="111">
        <v>2398</v>
      </c>
      <c r="I14" s="2149">
        <v>82925.08</v>
      </c>
      <c r="J14" s="2149">
        <v>2398</v>
      </c>
      <c r="K14" s="2149">
        <v>104413.57</v>
      </c>
      <c r="L14" s="2149">
        <v>2398</v>
      </c>
      <c r="M14" s="324">
        <v>106587.23</v>
      </c>
      <c r="N14" s="1909">
        <v>2398</v>
      </c>
    </row>
    <row r="15" spans="1:14" s="1201" customFormat="1" ht="19.8" customHeight="1">
      <c r="A15" s="1908"/>
      <c r="B15" s="1908" t="s">
        <v>3417</v>
      </c>
      <c r="C15" s="111">
        <v>45765</v>
      </c>
      <c r="D15" s="350" t="s">
        <v>431</v>
      </c>
      <c r="E15" s="1118">
        <v>45765</v>
      </c>
      <c r="F15" s="2150" t="s">
        <v>431</v>
      </c>
      <c r="G15" s="2149">
        <v>45765</v>
      </c>
      <c r="H15" s="2150" t="s">
        <v>431</v>
      </c>
      <c r="I15" s="2149">
        <v>45765</v>
      </c>
      <c r="J15" s="2150" t="s">
        <v>431</v>
      </c>
      <c r="K15" s="2149">
        <v>45765</v>
      </c>
      <c r="L15" s="2150" t="s">
        <v>431</v>
      </c>
      <c r="M15" s="324">
        <v>45765</v>
      </c>
      <c r="N15" s="1910" t="s">
        <v>431</v>
      </c>
    </row>
    <row r="16" spans="1:14" s="1201" customFormat="1" ht="19.8" customHeight="1">
      <c r="A16" s="1908"/>
      <c r="B16" s="1908" t="s">
        <v>3418</v>
      </c>
      <c r="C16" s="111">
        <v>7360000</v>
      </c>
      <c r="D16" s="350" t="s">
        <v>431</v>
      </c>
      <c r="E16" s="1118">
        <v>7360000</v>
      </c>
      <c r="F16" s="2150" t="s">
        <v>431</v>
      </c>
      <c r="G16" s="2149">
        <v>7360000</v>
      </c>
      <c r="H16" s="2150" t="s">
        <v>431</v>
      </c>
      <c r="I16" s="2149">
        <v>7360000</v>
      </c>
      <c r="J16" s="2150" t="s">
        <v>431</v>
      </c>
      <c r="K16" s="2149">
        <v>7360000</v>
      </c>
      <c r="L16" s="2150" t="s">
        <v>431</v>
      </c>
      <c r="M16" s="324">
        <v>7361504</v>
      </c>
      <c r="N16" s="1910" t="s">
        <v>431</v>
      </c>
    </row>
    <row r="17" spans="1:18" s="1201" customFormat="1" ht="19.8" customHeight="1" thickBot="1">
      <c r="A17" s="1911"/>
      <c r="B17" s="1911" t="s">
        <v>33</v>
      </c>
      <c r="C17" s="119">
        <v>1082522</v>
      </c>
      <c r="D17" s="350">
        <v>2892</v>
      </c>
      <c r="E17" s="120">
        <v>1082522</v>
      </c>
      <c r="F17" s="2150">
        <v>2892</v>
      </c>
      <c r="G17" s="336">
        <v>1082522</v>
      </c>
      <c r="H17" s="120">
        <v>2892</v>
      </c>
      <c r="I17" s="336">
        <v>1085817.76</v>
      </c>
      <c r="J17" s="120">
        <v>3019</v>
      </c>
      <c r="K17" s="336">
        <v>1081514.76</v>
      </c>
      <c r="L17" s="120">
        <v>3225</v>
      </c>
      <c r="M17" s="340">
        <v>1081549.76</v>
      </c>
      <c r="N17" s="1912">
        <v>3225</v>
      </c>
    </row>
    <row r="18" spans="1:18" s="1201" customFormat="1">
      <c r="A18" s="2428" t="s">
        <v>3419</v>
      </c>
      <c r="B18" s="2428"/>
      <c r="C18" s="2428"/>
      <c r="D18" s="2428"/>
      <c r="F18" s="1422"/>
      <c r="G18" s="2428"/>
      <c r="H18" s="2428"/>
      <c r="I18" s="1494"/>
      <c r="J18" s="1494"/>
      <c r="K18" s="2423"/>
      <c r="L18" s="2423"/>
      <c r="M18" s="2423"/>
      <c r="N18" s="2423"/>
      <c r="O18" s="2423"/>
      <c r="P18" s="2423"/>
      <c r="Q18" s="2423"/>
      <c r="R18" s="2423"/>
    </row>
    <row r="19" spans="1:18">
      <c r="B19" s="1913"/>
    </row>
    <row r="20" spans="1:18">
      <c r="B20" s="1913"/>
    </row>
  </sheetData>
  <mergeCells count="17">
    <mergeCell ref="A2:B2"/>
    <mergeCell ref="C2:D2"/>
    <mergeCell ref="E2:F2"/>
    <mergeCell ref="A3:B3"/>
    <mergeCell ref="A5:B5"/>
    <mergeCell ref="A13:B13"/>
    <mergeCell ref="A18:B18"/>
    <mergeCell ref="C18:D18"/>
    <mergeCell ref="G2:H2"/>
    <mergeCell ref="O18:P18"/>
    <mergeCell ref="Q18:R18"/>
    <mergeCell ref="K2:L2"/>
    <mergeCell ref="M2:N2"/>
    <mergeCell ref="G18:H18"/>
    <mergeCell ref="K18:L18"/>
    <mergeCell ref="M18:N18"/>
    <mergeCell ref="I2:J2"/>
  </mergeCells>
  <phoneticPr fontId="4"/>
  <pageMargins left="0.7" right="0.7" top="0.75" bottom="0.75" header="0.3" footer="0.3"/>
  <pageSetup paperSize="9" scale="99" orientation="landscape" r:id="rId1"/>
  <colBreaks count="1" manualBreakCount="1">
    <brk id="14"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B12FC-C0CF-4FAC-999B-B59791378FCE}">
  <sheetPr codeName="Sheet95"/>
  <dimension ref="A1:S37"/>
  <sheetViews>
    <sheetView workbookViewId="0"/>
  </sheetViews>
  <sheetFormatPr defaultRowHeight="13.2"/>
  <cols>
    <col min="1" max="1" width="7.09765625" style="1431" customWidth="1"/>
    <col min="2" max="2" width="4.796875" style="1431" customWidth="1"/>
    <col min="3" max="3" width="1.69921875" style="1431" customWidth="1"/>
    <col min="4" max="4" width="3.796875" style="1431" customWidth="1"/>
    <col min="5" max="5" width="7" style="1431" customWidth="1"/>
    <col min="6" max="6" width="7.09765625" style="1431" customWidth="1"/>
    <col min="7" max="7" width="2.19921875" style="1431" customWidth="1"/>
    <col min="8" max="13" width="7.796875" style="1431" customWidth="1"/>
    <col min="14" max="256" width="8.796875" style="1431"/>
    <col min="257" max="257" width="7.09765625" style="1431" customWidth="1"/>
    <col min="258" max="258" width="4.796875" style="1431" customWidth="1"/>
    <col min="259" max="259" width="3.5" style="1431" customWidth="1"/>
    <col min="260" max="260" width="3.796875" style="1431" customWidth="1"/>
    <col min="261" max="261" width="5.3984375" style="1431" bestFit="1" customWidth="1"/>
    <col min="262" max="262" width="7.09765625" style="1431" customWidth="1"/>
    <col min="263" max="263" width="2.19921875" style="1431" customWidth="1"/>
    <col min="264" max="269" width="7.796875" style="1431" customWidth="1"/>
    <col min="270" max="512" width="8.796875" style="1431"/>
    <col min="513" max="513" width="7.09765625" style="1431" customWidth="1"/>
    <col min="514" max="514" width="4.796875" style="1431" customWidth="1"/>
    <col min="515" max="515" width="3.5" style="1431" customWidth="1"/>
    <col min="516" max="516" width="3.796875" style="1431" customWidth="1"/>
    <col min="517" max="517" width="5.3984375" style="1431" bestFit="1" customWidth="1"/>
    <col min="518" max="518" width="7.09765625" style="1431" customWidth="1"/>
    <col min="519" max="519" width="2.19921875" style="1431" customWidth="1"/>
    <col min="520" max="525" width="7.796875" style="1431" customWidth="1"/>
    <col min="526" max="768" width="8.796875" style="1431"/>
    <col min="769" max="769" width="7.09765625" style="1431" customWidth="1"/>
    <col min="770" max="770" width="4.796875" style="1431" customWidth="1"/>
    <col min="771" max="771" width="3.5" style="1431" customWidth="1"/>
    <col min="772" max="772" width="3.796875" style="1431" customWidth="1"/>
    <col min="773" max="773" width="5.3984375" style="1431" bestFit="1" customWidth="1"/>
    <col min="774" max="774" width="7.09765625" style="1431" customWidth="1"/>
    <col min="775" max="775" width="2.19921875" style="1431" customWidth="1"/>
    <col min="776" max="781" width="7.796875" style="1431" customWidth="1"/>
    <col min="782" max="1024" width="8.796875" style="1431"/>
    <col min="1025" max="1025" width="7.09765625" style="1431" customWidth="1"/>
    <col min="1026" max="1026" width="4.796875" style="1431" customWidth="1"/>
    <col min="1027" max="1027" width="3.5" style="1431" customWidth="1"/>
    <col min="1028" max="1028" width="3.796875" style="1431" customWidth="1"/>
    <col min="1029" max="1029" width="5.3984375" style="1431" bestFit="1" customWidth="1"/>
    <col min="1030" max="1030" width="7.09765625" style="1431" customWidth="1"/>
    <col min="1031" max="1031" width="2.19921875" style="1431" customWidth="1"/>
    <col min="1032" max="1037" width="7.796875" style="1431" customWidth="1"/>
    <col min="1038" max="1280" width="8.796875" style="1431"/>
    <col min="1281" max="1281" width="7.09765625" style="1431" customWidth="1"/>
    <col min="1282" max="1282" width="4.796875" style="1431" customWidth="1"/>
    <col min="1283" max="1283" width="3.5" style="1431" customWidth="1"/>
    <col min="1284" max="1284" width="3.796875" style="1431" customWidth="1"/>
    <col min="1285" max="1285" width="5.3984375" style="1431" bestFit="1" customWidth="1"/>
    <col min="1286" max="1286" width="7.09765625" style="1431" customWidth="1"/>
    <col min="1287" max="1287" width="2.19921875" style="1431" customWidth="1"/>
    <col min="1288" max="1293" width="7.796875" style="1431" customWidth="1"/>
    <col min="1294" max="1536" width="8.796875" style="1431"/>
    <col min="1537" max="1537" width="7.09765625" style="1431" customWidth="1"/>
    <col min="1538" max="1538" width="4.796875" style="1431" customWidth="1"/>
    <col min="1539" max="1539" width="3.5" style="1431" customWidth="1"/>
    <col min="1540" max="1540" width="3.796875" style="1431" customWidth="1"/>
    <col min="1541" max="1541" width="5.3984375" style="1431" bestFit="1" customWidth="1"/>
    <col min="1542" max="1542" width="7.09765625" style="1431" customWidth="1"/>
    <col min="1543" max="1543" width="2.19921875" style="1431" customWidth="1"/>
    <col min="1544" max="1549" width="7.796875" style="1431" customWidth="1"/>
    <col min="1550" max="1792" width="8.796875" style="1431"/>
    <col min="1793" max="1793" width="7.09765625" style="1431" customWidth="1"/>
    <col min="1794" max="1794" width="4.796875" style="1431" customWidth="1"/>
    <col min="1795" max="1795" width="3.5" style="1431" customWidth="1"/>
    <col min="1796" max="1796" width="3.796875" style="1431" customWidth="1"/>
    <col min="1797" max="1797" width="5.3984375" style="1431" bestFit="1" customWidth="1"/>
    <col min="1798" max="1798" width="7.09765625" style="1431" customWidth="1"/>
    <col min="1799" max="1799" width="2.19921875" style="1431" customWidth="1"/>
    <col min="1800" max="1805" width="7.796875" style="1431" customWidth="1"/>
    <col min="1806" max="2048" width="8.796875" style="1431"/>
    <col min="2049" max="2049" width="7.09765625" style="1431" customWidth="1"/>
    <col min="2050" max="2050" width="4.796875" style="1431" customWidth="1"/>
    <col min="2051" max="2051" width="3.5" style="1431" customWidth="1"/>
    <col min="2052" max="2052" width="3.796875" style="1431" customWidth="1"/>
    <col min="2053" max="2053" width="5.3984375" style="1431" bestFit="1" customWidth="1"/>
    <col min="2054" max="2054" width="7.09765625" style="1431" customWidth="1"/>
    <col min="2055" max="2055" width="2.19921875" style="1431" customWidth="1"/>
    <col min="2056" max="2061" width="7.796875" style="1431" customWidth="1"/>
    <col min="2062" max="2304" width="8.796875" style="1431"/>
    <col min="2305" max="2305" width="7.09765625" style="1431" customWidth="1"/>
    <col min="2306" max="2306" width="4.796875" style="1431" customWidth="1"/>
    <col min="2307" max="2307" width="3.5" style="1431" customWidth="1"/>
    <col min="2308" max="2308" width="3.796875" style="1431" customWidth="1"/>
    <col min="2309" max="2309" width="5.3984375" style="1431" bestFit="1" customWidth="1"/>
    <col min="2310" max="2310" width="7.09765625" style="1431" customWidth="1"/>
    <col min="2311" max="2311" width="2.19921875" style="1431" customWidth="1"/>
    <col min="2312" max="2317" width="7.796875" style="1431" customWidth="1"/>
    <col min="2318" max="2560" width="8.796875" style="1431"/>
    <col min="2561" max="2561" width="7.09765625" style="1431" customWidth="1"/>
    <col min="2562" max="2562" width="4.796875" style="1431" customWidth="1"/>
    <col min="2563" max="2563" width="3.5" style="1431" customWidth="1"/>
    <col min="2564" max="2564" width="3.796875" style="1431" customWidth="1"/>
    <col min="2565" max="2565" width="5.3984375" style="1431" bestFit="1" customWidth="1"/>
    <col min="2566" max="2566" width="7.09765625" style="1431" customWidth="1"/>
    <col min="2567" max="2567" width="2.19921875" style="1431" customWidth="1"/>
    <col min="2568" max="2573" width="7.796875" style="1431" customWidth="1"/>
    <col min="2574" max="2816" width="8.796875" style="1431"/>
    <col min="2817" max="2817" width="7.09765625" style="1431" customWidth="1"/>
    <col min="2818" max="2818" width="4.796875" style="1431" customWidth="1"/>
    <col min="2819" max="2819" width="3.5" style="1431" customWidth="1"/>
    <col min="2820" max="2820" width="3.796875" style="1431" customWidth="1"/>
    <col min="2821" max="2821" width="5.3984375" style="1431" bestFit="1" customWidth="1"/>
    <col min="2822" max="2822" width="7.09765625" style="1431" customWidth="1"/>
    <col min="2823" max="2823" width="2.19921875" style="1431" customWidth="1"/>
    <col min="2824" max="2829" width="7.796875" style="1431" customWidth="1"/>
    <col min="2830" max="3072" width="8.796875" style="1431"/>
    <col min="3073" max="3073" width="7.09765625" style="1431" customWidth="1"/>
    <col min="3074" max="3074" width="4.796875" style="1431" customWidth="1"/>
    <col min="3075" max="3075" width="3.5" style="1431" customWidth="1"/>
    <col min="3076" max="3076" width="3.796875" style="1431" customWidth="1"/>
    <col min="3077" max="3077" width="5.3984375" style="1431" bestFit="1" customWidth="1"/>
    <col min="3078" max="3078" width="7.09765625" style="1431" customWidth="1"/>
    <col min="3079" max="3079" width="2.19921875" style="1431" customWidth="1"/>
    <col min="3080" max="3085" width="7.796875" style="1431" customWidth="1"/>
    <col min="3086" max="3328" width="8.796875" style="1431"/>
    <col min="3329" max="3329" width="7.09765625" style="1431" customWidth="1"/>
    <col min="3330" max="3330" width="4.796875" style="1431" customWidth="1"/>
    <col min="3331" max="3331" width="3.5" style="1431" customWidth="1"/>
    <col min="3332" max="3332" width="3.796875" style="1431" customWidth="1"/>
    <col min="3333" max="3333" width="5.3984375" style="1431" bestFit="1" customWidth="1"/>
    <col min="3334" max="3334" width="7.09765625" style="1431" customWidth="1"/>
    <col min="3335" max="3335" width="2.19921875" style="1431" customWidth="1"/>
    <col min="3336" max="3341" width="7.796875" style="1431" customWidth="1"/>
    <col min="3342" max="3584" width="8.796875" style="1431"/>
    <col min="3585" max="3585" width="7.09765625" style="1431" customWidth="1"/>
    <col min="3586" max="3586" width="4.796875" style="1431" customWidth="1"/>
    <col min="3587" max="3587" width="3.5" style="1431" customWidth="1"/>
    <col min="3588" max="3588" width="3.796875" style="1431" customWidth="1"/>
    <col min="3589" max="3589" width="5.3984375" style="1431" bestFit="1" customWidth="1"/>
    <col min="3590" max="3590" width="7.09765625" style="1431" customWidth="1"/>
    <col min="3591" max="3591" width="2.19921875" style="1431" customWidth="1"/>
    <col min="3592" max="3597" width="7.796875" style="1431" customWidth="1"/>
    <col min="3598" max="3840" width="8.796875" style="1431"/>
    <col min="3841" max="3841" width="7.09765625" style="1431" customWidth="1"/>
    <col min="3842" max="3842" width="4.796875" style="1431" customWidth="1"/>
    <col min="3843" max="3843" width="3.5" style="1431" customWidth="1"/>
    <col min="3844" max="3844" width="3.796875" style="1431" customWidth="1"/>
    <col min="3845" max="3845" width="5.3984375" style="1431" bestFit="1" customWidth="1"/>
    <col min="3846" max="3846" width="7.09765625" style="1431" customWidth="1"/>
    <col min="3847" max="3847" width="2.19921875" style="1431" customWidth="1"/>
    <col min="3848" max="3853" width="7.796875" style="1431" customWidth="1"/>
    <col min="3854" max="4096" width="8.796875" style="1431"/>
    <col min="4097" max="4097" width="7.09765625" style="1431" customWidth="1"/>
    <col min="4098" max="4098" width="4.796875" style="1431" customWidth="1"/>
    <col min="4099" max="4099" width="3.5" style="1431" customWidth="1"/>
    <col min="4100" max="4100" width="3.796875" style="1431" customWidth="1"/>
    <col min="4101" max="4101" width="5.3984375" style="1431" bestFit="1" customWidth="1"/>
    <col min="4102" max="4102" width="7.09765625" style="1431" customWidth="1"/>
    <col min="4103" max="4103" width="2.19921875" style="1431" customWidth="1"/>
    <col min="4104" max="4109" width="7.796875" style="1431" customWidth="1"/>
    <col min="4110" max="4352" width="8.796875" style="1431"/>
    <col min="4353" max="4353" width="7.09765625" style="1431" customWidth="1"/>
    <col min="4354" max="4354" width="4.796875" style="1431" customWidth="1"/>
    <col min="4355" max="4355" width="3.5" style="1431" customWidth="1"/>
    <col min="4356" max="4356" width="3.796875" style="1431" customWidth="1"/>
    <col min="4357" max="4357" width="5.3984375" style="1431" bestFit="1" customWidth="1"/>
    <col min="4358" max="4358" width="7.09765625" style="1431" customWidth="1"/>
    <col min="4359" max="4359" width="2.19921875" style="1431" customWidth="1"/>
    <col min="4360" max="4365" width="7.796875" style="1431" customWidth="1"/>
    <col min="4366" max="4608" width="8.796875" style="1431"/>
    <col min="4609" max="4609" width="7.09765625" style="1431" customWidth="1"/>
    <col min="4610" max="4610" width="4.796875" style="1431" customWidth="1"/>
    <col min="4611" max="4611" width="3.5" style="1431" customWidth="1"/>
    <col min="4612" max="4612" width="3.796875" style="1431" customWidth="1"/>
    <col min="4613" max="4613" width="5.3984375" style="1431" bestFit="1" customWidth="1"/>
    <col min="4614" max="4614" width="7.09765625" style="1431" customWidth="1"/>
    <col min="4615" max="4615" width="2.19921875" style="1431" customWidth="1"/>
    <col min="4616" max="4621" width="7.796875" style="1431" customWidth="1"/>
    <col min="4622" max="4864" width="8.796875" style="1431"/>
    <col min="4865" max="4865" width="7.09765625" style="1431" customWidth="1"/>
    <col min="4866" max="4866" width="4.796875" style="1431" customWidth="1"/>
    <col min="4867" max="4867" width="3.5" style="1431" customWidth="1"/>
    <col min="4868" max="4868" width="3.796875" style="1431" customWidth="1"/>
    <col min="4869" max="4869" width="5.3984375" style="1431" bestFit="1" customWidth="1"/>
    <col min="4870" max="4870" width="7.09765625" style="1431" customWidth="1"/>
    <col min="4871" max="4871" width="2.19921875" style="1431" customWidth="1"/>
    <col min="4872" max="4877" width="7.796875" style="1431" customWidth="1"/>
    <col min="4878" max="5120" width="8.796875" style="1431"/>
    <col min="5121" max="5121" width="7.09765625" style="1431" customWidth="1"/>
    <col min="5122" max="5122" width="4.796875" style="1431" customWidth="1"/>
    <col min="5123" max="5123" width="3.5" style="1431" customWidth="1"/>
    <col min="5124" max="5124" width="3.796875" style="1431" customWidth="1"/>
    <col min="5125" max="5125" width="5.3984375" style="1431" bestFit="1" customWidth="1"/>
    <col min="5126" max="5126" width="7.09765625" style="1431" customWidth="1"/>
    <col min="5127" max="5127" width="2.19921875" style="1431" customWidth="1"/>
    <col min="5128" max="5133" width="7.796875" style="1431" customWidth="1"/>
    <col min="5134" max="5376" width="8.796875" style="1431"/>
    <col min="5377" max="5377" width="7.09765625" style="1431" customWidth="1"/>
    <col min="5378" max="5378" width="4.796875" style="1431" customWidth="1"/>
    <col min="5379" max="5379" width="3.5" style="1431" customWidth="1"/>
    <col min="5380" max="5380" width="3.796875" style="1431" customWidth="1"/>
    <col min="5381" max="5381" width="5.3984375" style="1431" bestFit="1" customWidth="1"/>
    <col min="5382" max="5382" width="7.09765625" style="1431" customWidth="1"/>
    <col min="5383" max="5383" width="2.19921875" style="1431" customWidth="1"/>
    <col min="5384" max="5389" width="7.796875" style="1431" customWidth="1"/>
    <col min="5390" max="5632" width="8.796875" style="1431"/>
    <col min="5633" max="5633" width="7.09765625" style="1431" customWidth="1"/>
    <col min="5634" max="5634" width="4.796875" style="1431" customWidth="1"/>
    <col min="5635" max="5635" width="3.5" style="1431" customWidth="1"/>
    <col min="5636" max="5636" width="3.796875" style="1431" customWidth="1"/>
    <col min="5637" max="5637" width="5.3984375" style="1431" bestFit="1" customWidth="1"/>
    <col min="5638" max="5638" width="7.09765625" style="1431" customWidth="1"/>
    <col min="5639" max="5639" width="2.19921875" style="1431" customWidth="1"/>
    <col min="5640" max="5645" width="7.796875" style="1431" customWidth="1"/>
    <col min="5646" max="5888" width="8.796875" style="1431"/>
    <col min="5889" max="5889" width="7.09765625" style="1431" customWidth="1"/>
    <col min="5890" max="5890" width="4.796875" style="1431" customWidth="1"/>
    <col min="5891" max="5891" width="3.5" style="1431" customWidth="1"/>
    <col min="5892" max="5892" width="3.796875" style="1431" customWidth="1"/>
    <col min="5893" max="5893" width="5.3984375" style="1431" bestFit="1" customWidth="1"/>
    <col min="5894" max="5894" width="7.09765625" style="1431" customWidth="1"/>
    <col min="5895" max="5895" width="2.19921875" style="1431" customWidth="1"/>
    <col min="5896" max="5901" width="7.796875" style="1431" customWidth="1"/>
    <col min="5902" max="6144" width="8.796875" style="1431"/>
    <col min="6145" max="6145" width="7.09765625" style="1431" customWidth="1"/>
    <col min="6146" max="6146" width="4.796875" style="1431" customWidth="1"/>
    <col min="6147" max="6147" width="3.5" style="1431" customWidth="1"/>
    <col min="6148" max="6148" width="3.796875" style="1431" customWidth="1"/>
    <col min="6149" max="6149" width="5.3984375" style="1431" bestFit="1" customWidth="1"/>
    <col min="6150" max="6150" width="7.09765625" style="1431" customWidth="1"/>
    <col min="6151" max="6151" width="2.19921875" style="1431" customWidth="1"/>
    <col min="6152" max="6157" width="7.796875" style="1431" customWidth="1"/>
    <col min="6158" max="6400" width="8.796875" style="1431"/>
    <col min="6401" max="6401" width="7.09765625" style="1431" customWidth="1"/>
    <col min="6402" max="6402" width="4.796875" style="1431" customWidth="1"/>
    <col min="6403" max="6403" width="3.5" style="1431" customWidth="1"/>
    <col min="6404" max="6404" width="3.796875" style="1431" customWidth="1"/>
    <col min="6405" max="6405" width="5.3984375" style="1431" bestFit="1" customWidth="1"/>
    <col min="6406" max="6406" width="7.09765625" style="1431" customWidth="1"/>
    <col min="6407" max="6407" width="2.19921875" style="1431" customWidth="1"/>
    <col min="6408" max="6413" width="7.796875" style="1431" customWidth="1"/>
    <col min="6414" max="6656" width="8.796875" style="1431"/>
    <col min="6657" max="6657" width="7.09765625" style="1431" customWidth="1"/>
    <col min="6658" max="6658" width="4.796875" style="1431" customWidth="1"/>
    <col min="6659" max="6659" width="3.5" style="1431" customWidth="1"/>
    <col min="6660" max="6660" width="3.796875" style="1431" customWidth="1"/>
    <col min="6661" max="6661" width="5.3984375" style="1431" bestFit="1" customWidth="1"/>
    <col min="6662" max="6662" width="7.09765625" style="1431" customWidth="1"/>
    <col min="6663" max="6663" width="2.19921875" style="1431" customWidth="1"/>
    <col min="6664" max="6669" width="7.796875" style="1431" customWidth="1"/>
    <col min="6670" max="6912" width="8.796875" style="1431"/>
    <col min="6913" max="6913" width="7.09765625" style="1431" customWidth="1"/>
    <col min="6914" max="6914" width="4.796875" style="1431" customWidth="1"/>
    <col min="6915" max="6915" width="3.5" style="1431" customWidth="1"/>
    <col min="6916" max="6916" width="3.796875" style="1431" customWidth="1"/>
    <col min="6917" max="6917" width="5.3984375" style="1431" bestFit="1" customWidth="1"/>
    <col min="6918" max="6918" width="7.09765625" style="1431" customWidth="1"/>
    <col min="6919" max="6919" width="2.19921875" style="1431" customWidth="1"/>
    <col min="6920" max="6925" width="7.796875" style="1431" customWidth="1"/>
    <col min="6926" max="7168" width="8.796875" style="1431"/>
    <col min="7169" max="7169" width="7.09765625" style="1431" customWidth="1"/>
    <col min="7170" max="7170" width="4.796875" style="1431" customWidth="1"/>
    <col min="7171" max="7171" width="3.5" style="1431" customWidth="1"/>
    <col min="7172" max="7172" width="3.796875" style="1431" customWidth="1"/>
    <col min="7173" max="7173" width="5.3984375" style="1431" bestFit="1" customWidth="1"/>
    <col min="7174" max="7174" width="7.09765625" style="1431" customWidth="1"/>
    <col min="7175" max="7175" width="2.19921875" style="1431" customWidth="1"/>
    <col min="7176" max="7181" width="7.796875" style="1431" customWidth="1"/>
    <col min="7182" max="7424" width="8.796875" style="1431"/>
    <col min="7425" max="7425" width="7.09765625" style="1431" customWidth="1"/>
    <col min="7426" max="7426" width="4.796875" style="1431" customWidth="1"/>
    <col min="7427" max="7427" width="3.5" style="1431" customWidth="1"/>
    <col min="7428" max="7428" width="3.796875" style="1431" customWidth="1"/>
    <col min="7429" max="7429" width="5.3984375" style="1431" bestFit="1" customWidth="1"/>
    <col min="7430" max="7430" width="7.09765625" style="1431" customWidth="1"/>
    <col min="7431" max="7431" width="2.19921875" style="1431" customWidth="1"/>
    <col min="7432" max="7437" width="7.796875" style="1431" customWidth="1"/>
    <col min="7438" max="7680" width="8.796875" style="1431"/>
    <col min="7681" max="7681" width="7.09765625" style="1431" customWidth="1"/>
    <col min="7682" max="7682" width="4.796875" style="1431" customWidth="1"/>
    <col min="7683" max="7683" width="3.5" style="1431" customWidth="1"/>
    <col min="7684" max="7684" width="3.796875" style="1431" customWidth="1"/>
    <col min="7685" max="7685" width="5.3984375" style="1431" bestFit="1" customWidth="1"/>
    <col min="7686" max="7686" width="7.09765625" style="1431" customWidth="1"/>
    <col min="7687" max="7687" width="2.19921875" style="1431" customWidth="1"/>
    <col min="7688" max="7693" width="7.796875" style="1431" customWidth="1"/>
    <col min="7694" max="7936" width="8.796875" style="1431"/>
    <col min="7937" max="7937" width="7.09765625" style="1431" customWidth="1"/>
    <col min="7938" max="7938" width="4.796875" style="1431" customWidth="1"/>
    <col min="7939" max="7939" width="3.5" style="1431" customWidth="1"/>
    <col min="7940" max="7940" width="3.796875" style="1431" customWidth="1"/>
    <col min="7941" max="7941" width="5.3984375" style="1431" bestFit="1" customWidth="1"/>
    <col min="7942" max="7942" width="7.09765625" style="1431" customWidth="1"/>
    <col min="7943" max="7943" width="2.19921875" style="1431" customWidth="1"/>
    <col min="7944" max="7949" width="7.796875" style="1431" customWidth="1"/>
    <col min="7950" max="8192" width="8.796875" style="1431"/>
    <col min="8193" max="8193" width="7.09765625" style="1431" customWidth="1"/>
    <col min="8194" max="8194" width="4.796875" style="1431" customWidth="1"/>
    <col min="8195" max="8195" width="3.5" style="1431" customWidth="1"/>
    <col min="8196" max="8196" width="3.796875" style="1431" customWidth="1"/>
    <col min="8197" max="8197" width="5.3984375" style="1431" bestFit="1" customWidth="1"/>
    <col min="8198" max="8198" width="7.09765625" style="1431" customWidth="1"/>
    <col min="8199" max="8199" width="2.19921875" style="1431" customWidth="1"/>
    <col min="8200" max="8205" width="7.796875" style="1431" customWidth="1"/>
    <col min="8206" max="8448" width="8.796875" style="1431"/>
    <col min="8449" max="8449" width="7.09765625" style="1431" customWidth="1"/>
    <col min="8450" max="8450" width="4.796875" style="1431" customWidth="1"/>
    <col min="8451" max="8451" width="3.5" style="1431" customWidth="1"/>
    <col min="8452" max="8452" width="3.796875" style="1431" customWidth="1"/>
    <col min="8453" max="8453" width="5.3984375" style="1431" bestFit="1" customWidth="1"/>
    <col min="8454" max="8454" width="7.09765625" style="1431" customWidth="1"/>
    <col min="8455" max="8455" width="2.19921875" style="1431" customWidth="1"/>
    <col min="8456" max="8461" width="7.796875" style="1431" customWidth="1"/>
    <col min="8462" max="8704" width="8.796875" style="1431"/>
    <col min="8705" max="8705" width="7.09765625" style="1431" customWidth="1"/>
    <col min="8706" max="8706" width="4.796875" style="1431" customWidth="1"/>
    <col min="8707" max="8707" width="3.5" style="1431" customWidth="1"/>
    <col min="8708" max="8708" width="3.796875" style="1431" customWidth="1"/>
    <col min="8709" max="8709" width="5.3984375" style="1431" bestFit="1" customWidth="1"/>
    <col min="8710" max="8710" width="7.09765625" style="1431" customWidth="1"/>
    <col min="8711" max="8711" width="2.19921875" style="1431" customWidth="1"/>
    <col min="8712" max="8717" width="7.796875" style="1431" customWidth="1"/>
    <col min="8718" max="8960" width="8.796875" style="1431"/>
    <col min="8961" max="8961" width="7.09765625" style="1431" customWidth="1"/>
    <col min="8962" max="8962" width="4.796875" style="1431" customWidth="1"/>
    <col min="8963" max="8963" width="3.5" style="1431" customWidth="1"/>
    <col min="8964" max="8964" width="3.796875" style="1431" customWidth="1"/>
    <col min="8965" max="8965" width="5.3984375" style="1431" bestFit="1" customWidth="1"/>
    <col min="8966" max="8966" width="7.09765625" style="1431" customWidth="1"/>
    <col min="8967" max="8967" width="2.19921875" style="1431" customWidth="1"/>
    <col min="8968" max="8973" width="7.796875" style="1431" customWidth="1"/>
    <col min="8974" max="9216" width="8.796875" style="1431"/>
    <col min="9217" max="9217" width="7.09765625" style="1431" customWidth="1"/>
    <col min="9218" max="9218" width="4.796875" style="1431" customWidth="1"/>
    <col min="9219" max="9219" width="3.5" style="1431" customWidth="1"/>
    <col min="9220" max="9220" width="3.796875" style="1431" customWidth="1"/>
    <col min="9221" max="9221" width="5.3984375" style="1431" bestFit="1" customWidth="1"/>
    <col min="9222" max="9222" width="7.09765625" style="1431" customWidth="1"/>
    <col min="9223" max="9223" width="2.19921875" style="1431" customWidth="1"/>
    <col min="9224" max="9229" width="7.796875" style="1431" customWidth="1"/>
    <col min="9230" max="9472" width="8.796875" style="1431"/>
    <col min="9473" max="9473" width="7.09765625" style="1431" customWidth="1"/>
    <col min="9474" max="9474" width="4.796875" style="1431" customWidth="1"/>
    <col min="9475" max="9475" width="3.5" style="1431" customWidth="1"/>
    <col min="9476" max="9476" width="3.796875" style="1431" customWidth="1"/>
    <col min="9477" max="9477" width="5.3984375" style="1431" bestFit="1" customWidth="1"/>
    <col min="9478" max="9478" width="7.09765625" style="1431" customWidth="1"/>
    <col min="9479" max="9479" width="2.19921875" style="1431" customWidth="1"/>
    <col min="9480" max="9485" width="7.796875" style="1431" customWidth="1"/>
    <col min="9486" max="9728" width="8.796875" style="1431"/>
    <col min="9729" max="9729" width="7.09765625" style="1431" customWidth="1"/>
    <col min="9730" max="9730" width="4.796875" style="1431" customWidth="1"/>
    <col min="9731" max="9731" width="3.5" style="1431" customWidth="1"/>
    <col min="9732" max="9732" width="3.796875" style="1431" customWidth="1"/>
    <col min="9733" max="9733" width="5.3984375" style="1431" bestFit="1" customWidth="1"/>
    <col min="9734" max="9734" width="7.09765625" style="1431" customWidth="1"/>
    <col min="9735" max="9735" width="2.19921875" style="1431" customWidth="1"/>
    <col min="9736" max="9741" width="7.796875" style="1431" customWidth="1"/>
    <col min="9742" max="9984" width="8.796875" style="1431"/>
    <col min="9985" max="9985" width="7.09765625" style="1431" customWidth="1"/>
    <col min="9986" max="9986" width="4.796875" style="1431" customWidth="1"/>
    <col min="9987" max="9987" width="3.5" style="1431" customWidth="1"/>
    <col min="9988" max="9988" width="3.796875" style="1431" customWidth="1"/>
    <col min="9989" max="9989" width="5.3984375" style="1431" bestFit="1" customWidth="1"/>
    <col min="9990" max="9990" width="7.09765625" style="1431" customWidth="1"/>
    <col min="9991" max="9991" width="2.19921875" style="1431" customWidth="1"/>
    <col min="9992" max="9997" width="7.796875" style="1431" customWidth="1"/>
    <col min="9998" max="10240" width="8.796875" style="1431"/>
    <col min="10241" max="10241" width="7.09765625" style="1431" customWidth="1"/>
    <col min="10242" max="10242" width="4.796875" style="1431" customWidth="1"/>
    <col min="10243" max="10243" width="3.5" style="1431" customWidth="1"/>
    <col min="10244" max="10244" width="3.796875" style="1431" customWidth="1"/>
    <col min="10245" max="10245" width="5.3984375" style="1431" bestFit="1" customWidth="1"/>
    <col min="10246" max="10246" width="7.09765625" style="1431" customWidth="1"/>
    <col min="10247" max="10247" width="2.19921875" style="1431" customWidth="1"/>
    <col min="10248" max="10253" width="7.796875" style="1431" customWidth="1"/>
    <col min="10254" max="10496" width="8.796875" style="1431"/>
    <col min="10497" max="10497" width="7.09765625" style="1431" customWidth="1"/>
    <col min="10498" max="10498" width="4.796875" style="1431" customWidth="1"/>
    <col min="10499" max="10499" width="3.5" style="1431" customWidth="1"/>
    <col min="10500" max="10500" width="3.796875" style="1431" customWidth="1"/>
    <col min="10501" max="10501" width="5.3984375" style="1431" bestFit="1" customWidth="1"/>
    <col min="10502" max="10502" width="7.09765625" style="1431" customWidth="1"/>
    <col min="10503" max="10503" width="2.19921875" style="1431" customWidth="1"/>
    <col min="10504" max="10509" width="7.796875" style="1431" customWidth="1"/>
    <col min="10510" max="10752" width="8.796875" style="1431"/>
    <col min="10753" max="10753" width="7.09765625" style="1431" customWidth="1"/>
    <col min="10754" max="10754" width="4.796875" style="1431" customWidth="1"/>
    <col min="10755" max="10755" width="3.5" style="1431" customWidth="1"/>
    <col min="10756" max="10756" width="3.796875" style="1431" customWidth="1"/>
    <col min="10757" max="10757" width="5.3984375" style="1431" bestFit="1" customWidth="1"/>
    <col min="10758" max="10758" width="7.09765625" style="1431" customWidth="1"/>
    <col min="10759" max="10759" width="2.19921875" style="1431" customWidth="1"/>
    <col min="10760" max="10765" width="7.796875" style="1431" customWidth="1"/>
    <col min="10766" max="11008" width="8.796875" style="1431"/>
    <col min="11009" max="11009" width="7.09765625" style="1431" customWidth="1"/>
    <col min="11010" max="11010" width="4.796875" style="1431" customWidth="1"/>
    <col min="11011" max="11011" width="3.5" style="1431" customWidth="1"/>
    <col min="11012" max="11012" width="3.796875" style="1431" customWidth="1"/>
    <col min="11013" max="11013" width="5.3984375" style="1431" bestFit="1" customWidth="1"/>
    <col min="11014" max="11014" width="7.09765625" style="1431" customWidth="1"/>
    <col min="11015" max="11015" width="2.19921875" style="1431" customWidth="1"/>
    <col min="11016" max="11021" width="7.796875" style="1431" customWidth="1"/>
    <col min="11022" max="11264" width="8.796875" style="1431"/>
    <col min="11265" max="11265" width="7.09765625" style="1431" customWidth="1"/>
    <col min="11266" max="11266" width="4.796875" style="1431" customWidth="1"/>
    <col min="11267" max="11267" width="3.5" style="1431" customWidth="1"/>
    <col min="11268" max="11268" width="3.796875" style="1431" customWidth="1"/>
    <col min="11269" max="11269" width="5.3984375" style="1431" bestFit="1" customWidth="1"/>
    <col min="11270" max="11270" width="7.09765625" style="1431" customWidth="1"/>
    <col min="11271" max="11271" width="2.19921875" style="1431" customWidth="1"/>
    <col min="11272" max="11277" width="7.796875" style="1431" customWidth="1"/>
    <col min="11278" max="11520" width="8.796875" style="1431"/>
    <col min="11521" max="11521" width="7.09765625" style="1431" customWidth="1"/>
    <col min="11522" max="11522" width="4.796875" style="1431" customWidth="1"/>
    <col min="11523" max="11523" width="3.5" style="1431" customWidth="1"/>
    <col min="11524" max="11524" width="3.796875" style="1431" customWidth="1"/>
    <col min="11525" max="11525" width="5.3984375" style="1431" bestFit="1" customWidth="1"/>
    <col min="11526" max="11526" width="7.09765625" style="1431" customWidth="1"/>
    <col min="11527" max="11527" width="2.19921875" style="1431" customWidth="1"/>
    <col min="11528" max="11533" width="7.796875" style="1431" customWidth="1"/>
    <col min="11534" max="11776" width="8.796875" style="1431"/>
    <col min="11777" max="11777" width="7.09765625" style="1431" customWidth="1"/>
    <col min="11778" max="11778" width="4.796875" style="1431" customWidth="1"/>
    <col min="11779" max="11779" width="3.5" style="1431" customWidth="1"/>
    <col min="11780" max="11780" width="3.796875" style="1431" customWidth="1"/>
    <col min="11781" max="11781" width="5.3984375" style="1431" bestFit="1" customWidth="1"/>
    <col min="11782" max="11782" width="7.09765625" style="1431" customWidth="1"/>
    <col min="11783" max="11783" width="2.19921875" style="1431" customWidth="1"/>
    <col min="11784" max="11789" width="7.796875" style="1431" customWidth="1"/>
    <col min="11790" max="12032" width="8.796875" style="1431"/>
    <col min="12033" max="12033" width="7.09765625" style="1431" customWidth="1"/>
    <col min="12034" max="12034" width="4.796875" style="1431" customWidth="1"/>
    <col min="12035" max="12035" width="3.5" style="1431" customWidth="1"/>
    <col min="12036" max="12036" width="3.796875" style="1431" customWidth="1"/>
    <col min="12037" max="12037" width="5.3984375" style="1431" bestFit="1" customWidth="1"/>
    <col min="12038" max="12038" width="7.09765625" style="1431" customWidth="1"/>
    <col min="12039" max="12039" width="2.19921875" style="1431" customWidth="1"/>
    <col min="12040" max="12045" width="7.796875" style="1431" customWidth="1"/>
    <col min="12046" max="12288" width="8.796875" style="1431"/>
    <col min="12289" max="12289" width="7.09765625" style="1431" customWidth="1"/>
    <col min="12290" max="12290" width="4.796875" style="1431" customWidth="1"/>
    <col min="12291" max="12291" width="3.5" style="1431" customWidth="1"/>
    <col min="12292" max="12292" width="3.796875" style="1431" customWidth="1"/>
    <col min="12293" max="12293" width="5.3984375" style="1431" bestFit="1" customWidth="1"/>
    <col min="12294" max="12294" width="7.09765625" style="1431" customWidth="1"/>
    <col min="12295" max="12295" width="2.19921875" style="1431" customWidth="1"/>
    <col min="12296" max="12301" width="7.796875" style="1431" customWidth="1"/>
    <col min="12302" max="12544" width="8.796875" style="1431"/>
    <col min="12545" max="12545" width="7.09765625" style="1431" customWidth="1"/>
    <col min="12546" max="12546" width="4.796875" style="1431" customWidth="1"/>
    <col min="12547" max="12547" width="3.5" style="1431" customWidth="1"/>
    <col min="12548" max="12548" width="3.796875" style="1431" customWidth="1"/>
    <col min="12549" max="12549" width="5.3984375" style="1431" bestFit="1" customWidth="1"/>
    <col min="12550" max="12550" width="7.09765625" style="1431" customWidth="1"/>
    <col min="12551" max="12551" width="2.19921875" style="1431" customWidth="1"/>
    <col min="12552" max="12557" width="7.796875" style="1431" customWidth="1"/>
    <col min="12558" max="12800" width="8.796875" style="1431"/>
    <col min="12801" max="12801" width="7.09765625" style="1431" customWidth="1"/>
    <col min="12802" max="12802" width="4.796875" style="1431" customWidth="1"/>
    <col min="12803" max="12803" width="3.5" style="1431" customWidth="1"/>
    <col min="12804" max="12804" width="3.796875" style="1431" customWidth="1"/>
    <col min="12805" max="12805" width="5.3984375" style="1431" bestFit="1" customWidth="1"/>
    <col min="12806" max="12806" width="7.09765625" style="1431" customWidth="1"/>
    <col min="12807" max="12807" width="2.19921875" style="1431" customWidth="1"/>
    <col min="12808" max="12813" width="7.796875" style="1431" customWidth="1"/>
    <col min="12814" max="13056" width="8.796875" style="1431"/>
    <col min="13057" max="13057" width="7.09765625" style="1431" customWidth="1"/>
    <col min="13058" max="13058" width="4.796875" style="1431" customWidth="1"/>
    <col min="13059" max="13059" width="3.5" style="1431" customWidth="1"/>
    <col min="13060" max="13060" width="3.796875" style="1431" customWidth="1"/>
    <col min="13061" max="13061" width="5.3984375" style="1431" bestFit="1" customWidth="1"/>
    <col min="13062" max="13062" width="7.09765625" style="1431" customWidth="1"/>
    <col min="13063" max="13063" width="2.19921875" style="1431" customWidth="1"/>
    <col min="13064" max="13069" width="7.796875" style="1431" customWidth="1"/>
    <col min="13070" max="13312" width="8.796875" style="1431"/>
    <col min="13313" max="13313" width="7.09765625" style="1431" customWidth="1"/>
    <col min="13314" max="13314" width="4.796875" style="1431" customWidth="1"/>
    <col min="13315" max="13315" width="3.5" style="1431" customWidth="1"/>
    <col min="13316" max="13316" width="3.796875" style="1431" customWidth="1"/>
    <col min="13317" max="13317" width="5.3984375" style="1431" bestFit="1" customWidth="1"/>
    <col min="13318" max="13318" width="7.09765625" style="1431" customWidth="1"/>
    <col min="13319" max="13319" width="2.19921875" style="1431" customWidth="1"/>
    <col min="13320" max="13325" width="7.796875" style="1431" customWidth="1"/>
    <col min="13326" max="13568" width="8.796875" style="1431"/>
    <col min="13569" max="13569" width="7.09765625" style="1431" customWidth="1"/>
    <col min="13570" max="13570" width="4.796875" style="1431" customWidth="1"/>
    <col min="13571" max="13571" width="3.5" style="1431" customWidth="1"/>
    <col min="13572" max="13572" width="3.796875" style="1431" customWidth="1"/>
    <col min="13573" max="13573" width="5.3984375" style="1431" bestFit="1" customWidth="1"/>
    <col min="13574" max="13574" width="7.09765625" style="1431" customWidth="1"/>
    <col min="13575" max="13575" width="2.19921875" style="1431" customWidth="1"/>
    <col min="13576" max="13581" width="7.796875" style="1431" customWidth="1"/>
    <col min="13582" max="13824" width="8.796875" style="1431"/>
    <col min="13825" max="13825" width="7.09765625" style="1431" customWidth="1"/>
    <col min="13826" max="13826" width="4.796875" style="1431" customWidth="1"/>
    <col min="13827" max="13827" width="3.5" style="1431" customWidth="1"/>
    <col min="13828" max="13828" width="3.796875" style="1431" customWidth="1"/>
    <col min="13829" max="13829" width="5.3984375" style="1431" bestFit="1" customWidth="1"/>
    <col min="13830" max="13830" width="7.09765625" style="1431" customWidth="1"/>
    <col min="13831" max="13831" width="2.19921875" style="1431" customWidth="1"/>
    <col min="13832" max="13837" width="7.796875" style="1431" customWidth="1"/>
    <col min="13838" max="14080" width="8.796875" style="1431"/>
    <col min="14081" max="14081" width="7.09765625" style="1431" customWidth="1"/>
    <col min="14082" max="14082" width="4.796875" style="1431" customWidth="1"/>
    <col min="14083" max="14083" width="3.5" style="1431" customWidth="1"/>
    <col min="14084" max="14084" width="3.796875" style="1431" customWidth="1"/>
    <col min="14085" max="14085" width="5.3984375" style="1431" bestFit="1" customWidth="1"/>
    <col min="14086" max="14086" width="7.09765625" style="1431" customWidth="1"/>
    <col min="14087" max="14087" width="2.19921875" style="1431" customWidth="1"/>
    <col min="14088" max="14093" width="7.796875" style="1431" customWidth="1"/>
    <col min="14094" max="14336" width="8.796875" style="1431"/>
    <col min="14337" max="14337" width="7.09765625" style="1431" customWidth="1"/>
    <col min="14338" max="14338" width="4.796875" style="1431" customWidth="1"/>
    <col min="14339" max="14339" width="3.5" style="1431" customWidth="1"/>
    <col min="14340" max="14340" width="3.796875" style="1431" customWidth="1"/>
    <col min="14341" max="14341" width="5.3984375" style="1431" bestFit="1" customWidth="1"/>
    <col min="14342" max="14342" width="7.09765625" style="1431" customWidth="1"/>
    <col min="14343" max="14343" width="2.19921875" style="1431" customWidth="1"/>
    <col min="14344" max="14349" width="7.796875" style="1431" customWidth="1"/>
    <col min="14350" max="14592" width="8.796875" style="1431"/>
    <col min="14593" max="14593" width="7.09765625" style="1431" customWidth="1"/>
    <col min="14594" max="14594" width="4.796875" style="1431" customWidth="1"/>
    <col min="14595" max="14595" width="3.5" style="1431" customWidth="1"/>
    <col min="14596" max="14596" width="3.796875" style="1431" customWidth="1"/>
    <col min="14597" max="14597" width="5.3984375" style="1431" bestFit="1" customWidth="1"/>
    <col min="14598" max="14598" width="7.09765625" style="1431" customWidth="1"/>
    <col min="14599" max="14599" width="2.19921875" style="1431" customWidth="1"/>
    <col min="14600" max="14605" width="7.796875" style="1431" customWidth="1"/>
    <col min="14606" max="14848" width="8.796875" style="1431"/>
    <col min="14849" max="14849" width="7.09765625" style="1431" customWidth="1"/>
    <col min="14850" max="14850" width="4.796875" style="1431" customWidth="1"/>
    <col min="14851" max="14851" width="3.5" style="1431" customWidth="1"/>
    <col min="14852" max="14852" width="3.796875" style="1431" customWidth="1"/>
    <col min="14853" max="14853" width="5.3984375" style="1431" bestFit="1" customWidth="1"/>
    <col min="14854" max="14854" width="7.09765625" style="1431" customWidth="1"/>
    <col min="14855" max="14855" width="2.19921875" style="1431" customWidth="1"/>
    <col min="14856" max="14861" width="7.796875" style="1431" customWidth="1"/>
    <col min="14862" max="15104" width="8.796875" style="1431"/>
    <col min="15105" max="15105" width="7.09765625" style="1431" customWidth="1"/>
    <col min="15106" max="15106" width="4.796875" style="1431" customWidth="1"/>
    <col min="15107" max="15107" width="3.5" style="1431" customWidth="1"/>
    <col min="15108" max="15108" width="3.796875" style="1431" customWidth="1"/>
    <col min="15109" max="15109" width="5.3984375" style="1431" bestFit="1" customWidth="1"/>
    <col min="15110" max="15110" width="7.09765625" style="1431" customWidth="1"/>
    <col min="15111" max="15111" width="2.19921875" style="1431" customWidth="1"/>
    <col min="15112" max="15117" width="7.796875" style="1431" customWidth="1"/>
    <col min="15118" max="15360" width="8.796875" style="1431"/>
    <col min="15361" max="15361" width="7.09765625" style="1431" customWidth="1"/>
    <col min="15362" max="15362" width="4.796875" style="1431" customWidth="1"/>
    <col min="15363" max="15363" width="3.5" style="1431" customWidth="1"/>
    <col min="15364" max="15364" width="3.796875" style="1431" customWidth="1"/>
    <col min="15365" max="15365" width="5.3984375" style="1431" bestFit="1" customWidth="1"/>
    <col min="15366" max="15366" width="7.09765625" style="1431" customWidth="1"/>
    <col min="15367" max="15367" width="2.19921875" style="1431" customWidth="1"/>
    <col min="15368" max="15373" width="7.796875" style="1431" customWidth="1"/>
    <col min="15374" max="15616" width="8.796875" style="1431"/>
    <col min="15617" max="15617" width="7.09765625" style="1431" customWidth="1"/>
    <col min="15618" max="15618" width="4.796875" style="1431" customWidth="1"/>
    <col min="15619" max="15619" width="3.5" style="1431" customWidth="1"/>
    <col min="15620" max="15620" width="3.796875" style="1431" customWidth="1"/>
    <col min="15621" max="15621" width="5.3984375" style="1431" bestFit="1" customWidth="1"/>
    <col min="15622" max="15622" width="7.09765625" style="1431" customWidth="1"/>
    <col min="15623" max="15623" width="2.19921875" style="1431" customWidth="1"/>
    <col min="15624" max="15629" width="7.796875" style="1431" customWidth="1"/>
    <col min="15630" max="15872" width="8.796875" style="1431"/>
    <col min="15873" max="15873" width="7.09765625" style="1431" customWidth="1"/>
    <col min="15874" max="15874" width="4.796875" style="1431" customWidth="1"/>
    <col min="15875" max="15875" width="3.5" style="1431" customWidth="1"/>
    <col min="15876" max="15876" width="3.796875" style="1431" customWidth="1"/>
    <col min="15877" max="15877" width="5.3984375" style="1431" bestFit="1" customWidth="1"/>
    <col min="15878" max="15878" width="7.09765625" style="1431" customWidth="1"/>
    <col min="15879" max="15879" width="2.19921875" style="1431" customWidth="1"/>
    <col min="15880" max="15885" width="7.796875" style="1431" customWidth="1"/>
    <col min="15886" max="16128" width="8.796875" style="1431"/>
    <col min="16129" max="16129" width="7.09765625" style="1431" customWidth="1"/>
    <col min="16130" max="16130" width="4.796875" style="1431" customWidth="1"/>
    <col min="16131" max="16131" width="3.5" style="1431" customWidth="1"/>
    <col min="16132" max="16132" width="3.796875" style="1431" customWidth="1"/>
    <col min="16133" max="16133" width="5.3984375" style="1431" bestFit="1" customWidth="1"/>
    <col min="16134" max="16134" width="7.09765625" style="1431" customWidth="1"/>
    <col min="16135" max="16135" width="2.19921875" style="1431" customWidth="1"/>
    <col min="16136" max="16141" width="7.796875" style="1431" customWidth="1"/>
    <col min="16142" max="16384" width="8.796875" style="1431"/>
  </cols>
  <sheetData>
    <row r="1" spans="1:16" ht="30" customHeight="1" thickBot="1">
      <c r="A1" s="1481" t="s">
        <v>3606</v>
      </c>
      <c r="K1" s="1999"/>
      <c r="M1" s="1999" t="s">
        <v>3607</v>
      </c>
    </row>
    <row r="2" spans="1:16" s="1236" customFormat="1" ht="10.8">
      <c r="A2" s="1991" t="s">
        <v>49</v>
      </c>
      <c r="B2" s="2390" t="s">
        <v>3608</v>
      </c>
      <c r="C2" s="2395"/>
      <c r="D2" s="2395"/>
      <c r="E2" s="2395"/>
      <c r="F2" s="2390" t="s">
        <v>378</v>
      </c>
      <c r="G2" s="2393"/>
      <c r="H2" s="1989" t="s">
        <v>3609</v>
      </c>
      <c r="I2" s="1989" t="s">
        <v>202</v>
      </c>
      <c r="J2" s="1989" t="s">
        <v>3610</v>
      </c>
      <c r="K2" s="1990" t="s">
        <v>204</v>
      </c>
      <c r="L2" s="1989" t="s">
        <v>3611</v>
      </c>
      <c r="M2" s="1992" t="s">
        <v>206</v>
      </c>
    </row>
    <row r="3" spans="1:16" s="1236" customFormat="1" ht="16.2" customHeight="1">
      <c r="A3" s="2429" t="s">
        <v>311</v>
      </c>
      <c r="B3" s="2432" t="s">
        <v>207</v>
      </c>
      <c r="C3" s="2008"/>
      <c r="D3" s="2008"/>
      <c r="E3" s="2008"/>
      <c r="F3" s="1387">
        <f t="shared" ref="F3:F23" si="0">SUM(H3:M3)</f>
        <v>2310</v>
      </c>
      <c r="G3" s="2009" t="s">
        <v>3211</v>
      </c>
      <c r="H3" s="1386">
        <v>437</v>
      </c>
      <c r="I3" s="1386">
        <v>534</v>
      </c>
      <c r="J3" s="1386">
        <v>700</v>
      </c>
      <c r="K3" s="1387">
        <v>288</v>
      </c>
      <c r="L3" s="2010">
        <v>187</v>
      </c>
      <c r="M3" s="2011">
        <v>164</v>
      </c>
      <c r="O3" s="1756"/>
    </row>
    <row r="4" spans="1:16" s="1236" customFormat="1" ht="16.2" customHeight="1">
      <c r="A4" s="2430"/>
      <c r="B4" s="2433"/>
      <c r="C4" s="2435" t="s">
        <v>3612</v>
      </c>
      <c r="D4" s="2436"/>
      <c r="E4" s="2437"/>
      <c r="F4" s="1387">
        <f t="shared" si="0"/>
        <v>720</v>
      </c>
      <c r="G4" s="2009" t="s">
        <v>3211</v>
      </c>
      <c r="H4" s="1386">
        <v>203</v>
      </c>
      <c r="I4" s="1386">
        <v>136</v>
      </c>
      <c r="J4" s="1386">
        <v>132</v>
      </c>
      <c r="K4" s="1387">
        <v>70</v>
      </c>
      <c r="L4" s="2010">
        <v>109</v>
      </c>
      <c r="M4" s="2011">
        <v>70</v>
      </c>
    </row>
    <row r="5" spans="1:16" s="1236" customFormat="1" ht="16.2" customHeight="1">
      <c r="A5" s="2430"/>
      <c r="B5" s="2433"/>
      <c r="C5" s="2432" t="s">
        <v>3613</v>
      </c>
      <c r="D5" s="2438"/>
      <c r="E5" s="2439"/>
      <c r="F5" s="1387">
        <f t="shared" si="0"/>
        <v>1590</v>
      </c>
      <c r="G5" s="2009" t="s">
        <v>3211</v>
      </c>
      <c r="H5" s="1386">
        <v>234</v>
      </c>
      <c r="I5" s="1386">
        <v>398</v>
      </c>
      <c r="J5" s="1386">
        <v>568</v>
      </c>
      <c r="K5" s="1387">
        <v>218</v>
      </c>
      <c r="L5" s="2010">
        <v>78</v>
      </c>
      <c r="M5" s="2011">
        <v>94</v>
      </c>
    </row>
    <row r="6" spans="1:16" s="1236" customFormat="1" ht="16.2" customHeight="1">
      <c r="A6" s="2430"/>
      <c r="B6" s="2433"/>
      <c r="C6" s="2440"/>
      <c r="D6" s="2435" t="s">
        <v>3614</v>
      </c>
      <c r="E6" s="2437"/>
      <c r="F6" s="1387">
        <f t="shared" si="0"/>
        <v>233</v>
      </c>
      <c r="G6" s="2009" t="s">
        <v>3211</v>
      </c>
      <c r="H6" s="1386">
        <v>28</v>
      </c>
      <c r="I6" s="1386">
        <v>50</v>
      </c>
      <c r="J6" s="1386">
        <v>86</v>
      </c>
      <c r="K6" s="1387">
        <v>32</v>
      </c>
      <c r="L6" s="2010">
        <v>18</v>
      </c>
      <c r="M6" s="2011">
        <v>19</v>
      </c>
    </row>
    <row r="7" spans="1:16" s="1236" customFormat="1" ht="16.2" customHeight="1">
      <c r="A7" s="2430"/>
      <c r="B7" s="2433"/>
      <c r="C7" s="2440"/>
      <c r="D7" s="2442" t="s">
        <v>3615</v>
      </c>
      <c r="E7" s="2005" t="s">
        <v>3616</v>
      </c>
      <c r="F7" s="1387">
        <f t="shared" si="0"/>
        <v>202</v>
      </c>
      <c r="G7" s="2009" t="s">
        <v>3211</v>
      </c>
      <c r="H7" s="1386">
        <v>36</v>
      </c>
      <c r="I7" s="1386">
        <v>40</v>
      </c>
      <c r="J7" s="1386">
        <v>87</v>
      </c>
      <c r="K7" s="1387">
        <v>23</v>
      </c>
      <c r="L7" s="2010">
        <v>6</v>
      </c>
      <c r="M7" s="2011">
        <v>10</v>
      </c>
    </row>
    <row r="8" spans="1:16" s="1236" customFormat="1" ht="16.2" customHeight="1">
      <c r="A8" s="2430"/>
      <c r="B8" s="2434"/>
      <c r="C8" s="2441"/>
      <c r="D8" s="2441"/>
      <c r="E8" s="2005" t="s">
        <v>3617</v>
      </c>
      <c r="F8" s="1387">
        <f t="shared" si="0"/>
        <v>1155</v>
      </c>
      <c r="G8" s="2009" t="s">
        <v>3211</v>
      </c>
      <c r="H8" s="1386">
        <v>170</v>
      </c>
      <c r="I8" s="1386">
        <v>308</v>
      </c>
      <c r="J8" s="1386">
        <v>395</v>
      </c>
      <c r="K8" s="1387">
        <v>163</v>
      </c>
      <c r="L8" s="2010">
        <v>54</v>
      </c>
      <c r="M8" s="2011">
        <v>65</v>
      </c>
    </row>
    <row r="9" spans="1:16" s="1236" customFormat="1" ht="16.2" customHeight="1">
      <c r="A9" s="2431"/>
      <c r="B9" s="2435" t="s">
        <v>3618</v>
      </c>
      <c r="C9" s="2436"/>
      <c r="D9" s="2436"/>
      <c r="E9" s="2437"/>
      <c r="F9" s="2012">
        <f t="shared" si="0"/>
        <v>8662</v>
      </c>
      <c r="G9" s="2013" t="s">
        <v>229</v>
      </c>
      <c r="H9" s="1976">
        <v>1623</v>
      </c>
      <c r="I9" s="1976">
        <v>2058</v>
      </c>
      <c r="J9" s="1976">
        <v>2788</v>
      </c>
      <c r="K9" s="2012">
        <v>1065</v>
      </c>
      <c r="L9" s="2014">
        <v>607</v>
      </c>
      <c r="M9" s="2015">
        <v>521</v>
      </c>
    </row>
    <row r="10" spans="1:16" s="1236" customFormat="1" ht="16.2" customHeight="1">
      <c r="A10" s="2443" t="s">
        <v>316</v>
      </c>
      <c r="B10" s="2432" t="s">
        <v>207</v>
      </c>
      <c r="C10" s="2008"/>
      <c r="D10" s="2008"/>
      <c r="E10" s="2008"/>
      <c r="F10" s="1387">
        <f t="shared" si="0"/>
        <v>2015</v>
      </c>
      <c r="G10" s="2009" t="s">
        <v>3211</v>
      </c>
      <c r="H10" s="1386">
        <v>376</v>
      </c>
      <c r="I10" s="1386">
        <v>455</v>
      </c>
      <c r="J10" s="1386">
        <v>641</v>
      </c>
      <c r="K10" s="1386">
        <v>247</v>
      </c>
      <c r="L10" s="1386">
        <v>149</v>
      </c>
      <c r="M10" s="2016">
        <v>147</v>
      </c>
    </row>
    <row r="11" spans="1:16" s="1236" customFormat="1" ht="16.2" customHeight="1">
      <c r="A11" s="2443"/>
      <c r="B11" s="2433"/>
      <c r="C11" s="2435" t="s">
        <v>3612</v>
      </c>
      <c r="D11" s="2436"/>
      <c r="E11" s="2437"/>
      <c r="F11" s="1387">
        <f t="shared" si="0"/>
        <v>704</v>
      </c>
      <c r="G11" s="2009" t="s">
        <v>3211</v>
      </c>
      <c r="H11" s="1389">
        <v>176</v>
      </c>
      <c r="I11" s="1389">
        <v>151</v>
      </c>
      <c r="J11" s="1389">
        <v>168</v>
      </c>
      <c r="K11" s="2017">
        <v>67</v>
      </c>
      <c r="L11" s="2010">
        <v>74</v>
      </c>
      <c r="M11" s="2011">
        <v>68</v>
      </c>
    </row>
    <row r="12" spans="1:16" s="1236" customFormat="1" ht="16.2" customHeight="1">
      <c r="A12" s="2443"/>
      <c r="B12" s="2433"/>
      <c r="C12" s="2444" t="s">
        <v>3613</v>
      </c>
      <c r="D12" s="2444"/>
      <c r="E12" s="2432"/>
      <c r="F12" s="1387">
        <f t="shared" si="0"/>
        <v>1311</v>
      </c>
      <c r="G12" s="2009" t="s">
        <v>3211</v>
      </c>
      <c r="H12" s="1386">
        <v>200</v>
      </c>
      <c r="I12" s="1386">
        <v>304</v>
      </c>
      <c r="J12" s="1386">
        <v>473</v>
      </c>
      <c r="K12" s="1387">
        <v>180</v>
      </c>
      <c r="L12" s="2010">
        <v>75</v>
      </c>
      <c r="M12" s="2011">
        <v>79</v>
      </c>
    </row>
    <row r="13" spans="1:16" s="1236" customFormat="1" ht="16.2" customHeight="1">
      <c r="A13" s="2443"/>
      <c r="B13" s="2433"/>
      <c r="C13" s="2445"/>
      <c r="D13" s="2435" t="s">
        <v>3614</v>
      </c>
      <c r="E13" s="2437"/>
      <c r="F13" s="1387">
        <f t="shared" si="0"/>
        <v>233</v>
      </c>
      <c r="G13" s="2009" t="s">
        <v>3211</v>
      </c>
      <c r="H13" s="1386">
        <v>32</v>
      </c>
      <c r="I13" s="1386">
        <v>46</v>
      </c>
      <c r="J13" s="1386">
        <v>87</v>
      </c>
      <c r="K13" s="1387">
        <v>33</v>
      </c>
      <c r="L13" s="2010">
        <v>20</v>
      </c>
      <c r="M13" s="2011">
        <v>15</v>
      </c>
      <c r="P13" s="1756"/>
    </row>
    <row r="14" spans="1:16" s="1236" customFormat="1" ht="16.2" customHeight="1">
      <c r="A14" s="2443"/>
      <c r="B14" s="2433"/>
      <c r="C14" s="2445"/>
      <c r="D14" s="2442" t="s">
        <v>3615</v>
      </c>
      <c r="E14" s="2005" t="s">
        <v>3616</v>
      </c>
      <c r="F14" s="1387">
        <f t="shared" si="0"/>
        <v>129</v>
      </c>
      <c r="G14" s="2009" t="s">
        <v>3211</v>
      </c>
      <c r="H14" s="1386">
        <v>25</v>
      </c>
      <c r="I14" s="1386">
        <v>34</v>
      </c>
      <c r="J14" s="1386">
        <v>43</v>
      </c>
      <c r="K14" s="1387">
        <v>16</v>
      </c>
      <c r="L14" s="2010">
        <v>8</v>
      </c>
      <c r="M14" s="2011">
        <v>3</v>
      </c>
    </row>
    <row r="15" spans="1:16" s="1236" customFormat="1" ht="16.2" customHeight="1">
      <c r="A15" s="2443"/>
      <c r="B15" s="2433"/>
      <c r="C15" s="2446"/>
      <c r="D15" s="2441"/>
      <c r="E15" s="2005" t="s">
        <v>3617</v>
      </c>
      <c r="F15" s="1387">
        <f t="shared" si="0"/>
        <v>960</v>
      </c>
      <c r="G15" s="2009" t="s">
        <v>3211</v>
      </c>
      <c r="H15" s="1386">
        <v>143</v>
      </c>
      <c r="I15" s="1386">
        <v>224</v>
      </c>
      <c r="J15" s="1386">
        <v>343</v>
      </c>
      <c r="K15" s="1387">
        <v>131</v>
      </c>
      <c r="L15" s="2010">
        <v>54</v>
      </c>
      <c r="M15" s="2011">
        <v>65</v>
      </c>
    </row>
    <row r="16" spans="1:16" s="1236" customFormat="1" ht="16.2" customHeight="1">
      <c r="A16" s="2443"/>
      <c r="B16" s="2435" t="s">
        <v>3618</v>
      </c>
      <c r="C16" s="2436"/>
      <c r="D16" s="2436"/>
      <c r="E16" s="2437"/>
      <c r="F16" s="2012">
        <f t="shared" si="0"/>
        <v>4908</v>
      </c>
      <c r="G16" s="2013" t="s">
        <v>229</v>
      </c>
      <c r="H16" s="1976">
        <v>752</v>
      </c>
      <c r="I16" s="1976">
        <v>1143</v>
      </c>
      <c r="J16" s="1976">
        <v>1823</v>
      </c>
      <c r="K16" s="2012">
        <v>652</v>
      </c>
      <c r="L16" s="2014">
        <v>278</v>
      </c>
      <c r="M16" s="2015">
        <v>260</v>
      </c>
    </row>
    <row r="17" spans="1:19" s="1236" customFormat="1" ht="16.2" customHeight="1">
      <c r="A17" s="2429" t="s">
        <v>319</v>
      </c>
      <c r="B17" s="2432" t="s">
        <v>207</v>
      </c>
      <c r="C17" s="2008"/>
      <c r="D17" s="2008"/>
      <c r="E17" s="2008"/>
      <c r="F17" s="2016">
        <f t="shared" si="0"/>
        <v>1760</v>
      </c>
      <c r="G17" s="2018" t="s">
        <v>3211</v>
      </c>
      <c r="H17" s="2019">
        <f t="shared" ref="H17:M17" si="1">H18+H19</f>
        <v>333</v>
      </c>
      <c r="I17" s="2019">
        <f t="shared" si="1"/>
        <v>390</v>
      </c>
      <c r="J17" s="2019">
        <f t="shared" si="1"/>
        <v>561</v>
      </c>
      <c r="K17" s="2019">
        <f t="shared" si="1"/>
        <v>220</v>
      </c>
      <c r="L17" s="2019">
        <f t="shared" si="1"/>
        <v>126</v>
      </c>
      <c r="M17" s="2016">
        <f t="shared" si="1"/>
        <v>130</v>
      </c>
    </row>
    <row r="18" spans="1:19" s="1236" customFormat="1" ht="16.2" customHeight="1">
      <c r="A18" s="2430"/>
      <c r="B18" s="2433"/>
      <c r="C18" s="2435" t="s">
        <v>3612</v>
      </c>
      <c r="D18" s="2436"/>
      <c r="E18" s="2437"/>
      <c r="F18" s="1387">
        <f t="shared" si="0"/>
        <v>672</v>
      </c>
      <c r="G18" s="2009" t="s">
        <v>3211</v>
      </c>
      <c r="H18" s="2020">
        <v>162</v>
      </c>
      <c r="I18" s="2020">
        <v>138</v>
      </c>
      <c r="J18" s="2020">
        <v>163</v>
      </c>
      <c r="K18" s="2020">
        <v>84</v>
      </c>
      <c r="L18" s="2020">
        <v>60</v>
      </c>
      <c r="M18" s="2017">
        <v>65</v>
      </c>
    </row>
    <row r="19" spans="1:19" s="1236" customFormat="1" ht="16.2" customHeight="1">
      <c r="A19" s="2430"/>
      <c r="B19" s="2433"/>
      <c r="C19" s="2432" t="s">
        <v>3613</v>
      </c>
      <c r="D19" s="2438"/>
      <c r="E19" s="2439"/>
      <c r="F19" s="1387">
        <f t="shared" si="0"/>
        <v>1088</v>
      </c>
      <c r="G19" s="2009" t="s">
        <v>3211</v>
      </c>
      <c r="H19" s="2020">
        <v>171</v>
      </c>
      <c r="I19" s="2020">
        <v>252</v>
      </c>
      <c r="J19" s="2020">
        <v>398</v>
      </c>
      <c r="K19" s="2020">
        <v>136</v>
      </c>
      <c r="L19" s="2020">
        <v>66</v>
      </c>
      <c r="M19" s="2017">
        <v>65</v>
      </c>
    </row>
    <row r="20" spans="1:19" s="1236" customFormat="1" ht="16.2" customHeight="1">
      <c r="A20" s="2430"/>
      <c r="B20" s="2433"/>
      <c r="C20" s="2440"/>
      <c r="D20" s="2435" t="s">
        <v>3614</v>
      </c>
      <c r="E20" s="2437"/>
      <c r="F20" s="1387">
        <f t="shared" si="0"/>
        <v>292</v>
      </c>
      <c r="G20" s="2009" t="s">
        <v>3211</v>
      </c>
      <c r="H20" s="2017">
        <v>37</v>
      </c>
      <c r="I20" s="2017">
        <v>59</v>
      </c>
      <c r="J20" s="2017">
        <v>110</v>
      </c>
      <c r="K20" s="2017">
        <v>45</v>
      </c>
      <c r="L20" s="2017">
        <v>23</v>
      </c>
      <c r="M20" s="2017">
        <v>18</v>
      </c>
    </row>
    <row r="21" spans="1:19" s="1236" customFormat="1" ht="16.2" customHeight="1">
      <c r="A21" s="2430"/>
      <c r="B21" s="2433"/>
      <c r="C21" s="2440"/>
      <c r="D21" s="2442" t="s">
        <v>3615</v>
      </c>
      <c r="E21" s="2005" t="s">
        <v>3616</v>
      </c>
      <c r="F21" s="1387">
        <f t="shared" si="0"/>
        <v>79</v>
      </c>
      <c r="G21" s="2009" t="s">
        <v>3211</v>
      </c>
      <c r="H21" s="2017">
        <v>17</v>
      </c>
      <c r="I21" s="2017">
        <v>22</v>
      </c>
      <c r="J21" s="2017">
        <v>36</v>
      </c>
      <c r="K21" s="2017" t="s">
        <v>431</v>
      </c>
      <c r="L21" s="2017">
        <v>2</v>
      </c>
      <c r="M21" s="2017">
        <v>2</v>
      </c>
    </row>
    <row r="22" spans="1:19" s="1236" customFormat="1" ht="16.2" customHeight="1">
      <c r="A22" s="2430"/>
      <c r="B22" s="2434"/>
      <c r="C22" s="2441"/>
      <c r="D22" s="2441"/>
      <c r="E22" s="2005" t="s">
        <v>3617</v>
      </c>
      <c r="F22" s="1387">
        <f t="shared" si="0"/>
        <v>717</v>
      </c>
      <c r="G22" s="2009" t="s">
        <v>3211</v>
      </c>
      <c r="H22" s="2017">
        <v>117</v>
      </c>
      <c r="I22" s="2017">
        <v>171</v>
      </c>
      <c r="J22" s="2017">
        <v>252</v>
      </c>
      <c r="K22" s="2017">
        <v>91</v>
      </c>
      <c r="L22" s="2017">
        <v>41</v>
      </c>
      <c r="M22" s="2017">
        <v>45</v>
      </c>
    </row>
    <row r="23" spans="1:19" s="1236" customFormat="1" ht="16.2" customHeight="1">
      <c r="A23" s="2431"/>
      <c r="B23" s="2435" t="s">
        <v>3618</v>
      </c>
      <c r="C23" s="2436"/>
      <c r="D23" s="2436"/>
      <c r="E23" s="2437"/>
      <c r="F23" s="1981">
        <f t="shared" si="0"/>
        <v>3774</v>
      </c>
      <c r="G23" s="2013" t="s">
        <v>229</v>
      </c>
      <c r="H23" s="2021">
        <v>621</v>
      </c>
      <c r="I23" s="2021">
        <v>860</v>
      </c>
      <c r="J23" s="2021">
        <v>1427</v>
      </c>
      <c r="K23" s="2021">
        <v>461</v>
      </c>
      <c r="L23" s="2021">
        <v>214</v>
      </c>
      <c r="M23" s="2015">
        <v>191</v>
      </c>
    </row>
    <row r="24" spans="1:19" s="1236" customFormat="1" ht="16.2" customHeight="1">
      <c r="A24" s="2430" t="s">
        <v>3619</v>
      </c>
      <c r="B24" s="2432" t="s">
        <v>207</v>
      </c>
      <c r="C24" s="2008"/>
      <c r="D24" s="2008"/>
      <c r="E24" s="2008"/>
      <c r="F24" s="1387">
        <f>F25+F26</f>
        <v>1365</v>
      </c>
      <c r="G24" s="2009" t="s">
        <v>3211</v>
      </c>
      <c r="H24" s="2045">
        <f>H25+H26</f>
        <v>240</v>
      </c>
      <c r="I24" s="2045">
        <f t="shared" ref="I24:M24" si="2">I25+I26</f>
        <v>301</v>
      </c>
      <c r="J24" s="2045">
        <f t="shared" si="2"/>
        <v>471</v>
      </c>
      <c r="K24" s="2045">
        <f t="shared" si="2"/>
        <v>171</v>
      </c>
      <c r="L24" s="2045">
        <f t="shared" si="2"/>
        <v>102</v>
      </c>
      <c r="M24" s="2045">
        <f t="shared" si="2"/>
        <v>80</v>
      </c>
    </row>
    <row r="25" spans="1:19" s="1236" customFormat="1" ht="16.2" customHeight="1">
      <c r="A25" s="2430"/>
      <c r="B25" s="2433"/>
      <c r="C25" s="2435" t="s">
        <v>3612</v>
      </c>
      <c r="D25" s="2436"/>
      <c r="E25" s="2437"/>
      <c r="F25" s="1387">
        <v>630</v>
      </c>
      <c r="G25" s="2009" t="s">
        <v>3211</v>
      </c>
      <c r="H25" s="2045">
        <v>146</v>
      </c>
      <c r="I25" s="2045">
        <v>136</v>
      </c>
      <c r="J25" s="2045">
        <v>167</v>
      </c>
      <c r="K25" s="2045">
        <v>83</v>
      </c>
      <c r="L25" s="2045">
        <v>52</v>
      </c>
      <c r="M25" s="2017">
        <v>46</v>
      </c>
      <c r="N25" s="2022"/>
      <c r="O25" s="2022"/>
      <c r="P25" s="2022"/>
      <c r="Q25" s="2022"/>
      <c r="R25" s="2022"/>
      <c r="S25" s="2022"/>
    </row>
    <row r="26" spans="1:19" s="1236" customFormat="1" ht="16.2" customHeight="1">
      <c r="A26" s="2430"/>
      <c r="B26" s="2433"/>
      <c r="C26" s="2432" t="s">
        <v>3613</v>
      </c>
      <c r="D26" s="2438"/>
      <c r="E26" s="2439"/>
      <c r="F26" s="1387">
        <v>735</v>
      </c>
      <c r="G26" s="1385" t="s">
        <v>3211</v>
      </c>
      <c r="H26" s="1387">
        <v>94</v>
      </c>
      <c r="I26" s="1387">
        <v>165</v>
      </c>
      <c r="J26" s="1387">
        <v>304</v>
      </c>
      <c r="K26" s="1387">
        <v>88</v>
      </c>
      <c r="L26" s="1387">
        <v>50</v>
      </c>
      <c r="M26" s="1387">
        <v>34</v>
      </c>
      <c r="N26" s="2022"/>
      <c r="O26" s="2022"/>
      <c r="P26" s="2022"/>
      <c r="Q26" s="2022"/>
      <c r="R26" s="2022"/>
      <c r="S26" s="2022"/>
    </row>
    <row r="27" spans="1:19" s="1236" customFormat="1" ht="16.2" customHeight="1">
      <c r="A27" s="2430"/>
      <c r="B27" s="2433"/>
      <c r="C27" s="2440"/>
      <c r="D27" s="2435" t="s">
        <v>3614</v>
      </c>
      <c r="E27" s="2437"/>
      <c r="F27" s="2046" t="s">
        <v>69</v>
      </c>
      <c r="G27" s="2009" t="s">
        <v>3211</v>
      </c>
      <c r="H27" s="2046" t="s">
        <v>73</v>
      </c>
      <c r="I27" s="2046" t="s">
        <v>73</v>
      </c>
      <c r="J27" s="2046" t="s">
        <v>73</v>
      </c>
      <c r="K27" s="2046" t="s">
        <v>73</v>
      </c>
      <c r="L27" s="2046" t="s">
        <v>73</v>
      </c>
      <c r="M27" s="2046" t="s">
        <v>73</v>
      </c>
      <c r="N27" s="2023"/>
      <c r="O27" s="2023"/>
      <c r="P27" s="2023"/>
      <c r="Q27" s="2023"/>
      <c r="R27" s="2023"/>
    </row>
    <row r="28" spans="1:19" s="1236" customFormat="1" ht="16.2" customHeight="1">
      <c r="A28" s="2430"/>
      <c r="B28" s="2433"/>
      <c r="C28" s="2440"/>
      <c r="D28" s="2442" t="s">
        <v>3615</v>
      </c>
      <c r="E28" s="2005" t="s">
        <v>3616</v>
      </c>
      <c r="F28" s="2046" t="s">
        <v>69</v>
      </c>
      <c r="G28" s="2009" t="s">
        <v>3211</v>
      </c>
      <c r="H28" s="2046" t="s">
        <v>73</v>
      </c>
      <c r="I28" s="2046" t="s">
        <v>73</v>
      </c>
      <c r="J28" s="2046" t="s">
        <v>73</v>
      </c>
      <c r="K28" s="2046" t="s">
        <v>73</v>
      </c>
      <c r="L28" s="2046" t="s">
        <v>73</v>
      </c>
      <c r="M28" s="2046" t="s">
        <v>73</v>
      </c>
      <c r="N28" s="2023"/>
      <c r="O28" s="2023"/>
      <c r="P28" s="2023"/>
      <c r="Q28" s="2023"/>
      <c r="R28" s="2023"/>
      <c r="S28" s="2023"/>
    </row>
    <row r="29" spans="1:19" s="1236" customFormat="1" ht="16.2" customHeight="1">
      <c r="A29" s="2430"/>
      <c r="B29" s="2434"/>
      <c r="C29" s="2441"/>
      <c r="D29" s="2441"/>
      <c r="E29" s="2005" t="s">
        <v>3617</v>
      </c>
      <c r="F29" s="2046" t="s">
        <v>69</v>
      </c>
      <c r="G29" s="2009" t="s">
        <v>3211</v>
      </c>
      <c r="H29" s="2046" t="s">
        <v>73</v>
      </c>
      <c r="I29" s="2046" t="s">
        <v>73</v>
      </c>
      <c r="J29" s="2046" t="s">
        <v>73</v>
      </c>
      <c r="K29" s="2046" t="s">
        <v>73</v>
      </c>
      <c r="L29" s="2046" t="s">
        <v>73</v>
      </c>
      <c r="M29" s="2046" t="s">
        <v>73</v>
      </c>
      <c r="N29" s="2023"/>
      <c r="O29" s="2023"/>
      <c r="P29" s="2023"/>
      <c r="Q29" s="2023"/>
      <c r="R29" s="2023"/>
      <c r="S29" s="2023"/>
    </row>
    <row r="30" spans="1:19" s="1236" customFormat="1" ht="16.2" customHeight="1" thickBot="1">
      <c r="A30" s="2447"/>
      <c r="B30" s="2448" t="s">
        <v>3618</v>
      </c>
      <c r="C30" s="2449"/>
      <c r="D30" s="2449"/>
      <c r="E30" s="2450"/>
      <c r="F30" s="1971">
        <v>2240</v>
      </c>
      <c r="G30" s="2024" t="s">
        <v>229</v>
      </c>
      <c r="H30" s="1396">
        <v>293</v>
      </c>
      <c r="I30" s="1396">
        <v>502</v>
      </c>
      <c r="J30" s="1396">
        <v>930</v>
      </c>
      <c r="K30" s="1396">
        <v>278</v>
      </c>
      <c r="L30" s="1396">
        <v>152</v>
      </c>
      <c r="M30" s="2025">
        <v>85</v>
      </c>
    </row>
    <row r="31" spans="1:19" s="1236" customFormat="1" ht="16.2" customHeight="1">
      <c r="A31" s="1236" t="s">
        <v>2710</v>
      </c>
      <c r="D31" s="2044"/>
      <c r="E31" s="2044"/>
    </row>
    <row r="32" spans="1:19" s="1236" customFormat="1" ht="16.2" customHeight="1">
      <c r="A32" s="1236" t="s">
        <v>3668</v>
      </c>
      <c r="M32" s="2026"/>
      <c r="N32" s="2023"/>
      <c r="O32" s="2023"/>
      <c r="P32" s="2023"/>
      <c r="Q32" s="2023"/>
      <c r="R32" s="2023"/>
      <c r="S32" s="2023"/>
    </row>
    <row r="33" spans="1:19" s="1236" customFormat="1" ht="16.2" customHeight="1">
      <c r="A33" s="1236" t="s">
        <v>3673</v>
      </c>
      <c r="M33" s="2026"/>
      <c r="N33" s="2023"/>
      <c r="O33" s="2023"/>
      <c r="P33" s="2023"/>
      <c r="Q33" s="2023"/>
      <c r="R33" s="2023"/>
      <c r="S33" s="2023"/>
    </row>
    <row r="34" spans="1:19" s="1236" customFormat="1" ht="16.2" customHeight="1">
      <c r="A34" s="1236" t="s">
        <v>3669</v>
      </c>
    </row>
    <row r="35" spans="1:19" s="1236" customFormat="1" ht="16.2" customHeight="1">
      <c r="A35" s="1236" t="s">
        <v>3670</v>
      </c>
    </row>
    <row r="36" spans="1:19" s="1236" customFormat="1" ht="16.2" customHeight="1">
      <c r="A36" s="1236" t="s">
        <v>3670</v>
      </c>
    </row>
    <row r="37" spans="1:19" s="1236" customFormat="1" ht="16.2" customHeight="1">
      <c r="A37" s="1236" t="s">
        <v>3671</v>
      </c>
    </row>
  </sheetData>
  <mergeCells count="34">
    <mergeCell ref="A24:A30"/>
    <mergeCell ref="B24:B29"/>
    <mergeCell ref="C25:E25"/>
    <mergeCell ref="C26:E26"/>
    <mergeCell ref="C27:C29"/>
    <mergeCell ref="D27:E27"/>
    <mergeCell ref="D28:D29"/>
    <mergeCell ref="B30:E30"/>
    <mergeCell ref="A17:A23"/>
    <mergeCell ref="B17:B22"/>
    <mergeCell ref="C18:E18"/>
    <mergeCell ref="C19:E19"/>
    <mergeCell ref="C20:C22"/>
    <mergeCell ref="D20:E20"/>
    <mergeCell ref="D21:D22"/>
    <mergeCell ref="B23:E23"/>
    <mergeCell ref="A10:A16"/>
    <mergeCell ref="B10:B15"/>
    <mergeCell ref="C11:E11"/>
    <mergeCell ref="C12:E12"/>
    <mergeCell ref="C13:C15"/>
    <mergeCell ref="D13:E13"/>
    <mergeCell ref="D14:D15"/>
    <mergeCell ref="B16:E16"/>
    <mergeCell ref="B2:E2"/>
    <mergeCell ref="F2:G2"/>
    <mergeCell ref="A3:A9"/>
    <mergeCell ref="B3:B8"/>
    <mergeCell ref="C4:E4"/>
    <mergeCell ref="C5:E5"/>
    <mergeCell ref="C6:C8"/>
    <mergeCell ref="D6:E6"/>
    <mergeCell ref="D7:D8"/>
    <mergeCell ref="B9:E9"/>
  </mergeCells>
  <phoneticPr fontId="5"/>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75F2-3E6B-4274-B701-E4EEA270F966}">
  <sheetPr codeName="Sheet96"/>
  <dimension ref="A1:J23"/>
  <sheetViews>
    <sheetView zoomScaleNormal="100" workbookViewId="0"/>
  </sheetViews>
  <sheetFormatPr defaultRowHeight="13.2"/>
  <cols>
    <col min="1" max="1" width="8.796875" style="1431"/>
    <col min="2" max="2" width="4.19921875" style="1431" customWidth="1"/>
    <col min="3" max="3" width="11.09765625" style="1431" customWidth="1"/>
    <col min="4" max="10" width="9.09765625" style="1431" customWidth="1"/>
    <col min="11" max="257" width="8.796875" style="1431"/>
    <col min="258" max="258" width="4.19921875" style="1431" customWidth="1"/>
    <col min="259" max="259" width="11.09765625" style="1431" customWidth="1"/>
    <col min="260" max="266" width="9.09765625" style="1431" customWidth="1"/>
    <col min="267" max="513" width="8.796875" style="1431"/>
    <col min="514" max="514" width="4.19921875" style="1431" customWidth="1"/>
    <col min="515" max="515" width="11.09765625" style="1431" customWidth="1"/>
    <col min="516" max="522" width="9.09765625" style="1431" customWidth="1"/>
    <col min="523" max="769" width="8.796875" style="1431"/>
    <col min="770" max="770" width="4.19921875" style="1431" customWidth="1"/>
    <col min="771" max="771" width="11.09765625" style="1431" customWidth="1"/>
    <col min="772" max="778" width="9.09765625" style="1431" customWidth="1"/>
    <col min="779" max="1025" width="8.796875" style="1431"/>
    <col min="1026" max="1026" width="4.19921875" style="1431" customWidth="1"/>
    <col min="1027" max="1027" width="11.09765625" style="1431" customWidth="1"/>
    <col min="1028" max="1034" width="9.09765625" style="1431" customWidth="1"/>
    <col min="1035" max="1281" width="8.796875" style="1431"/>
    <col min="1282" max="1282" width="4.19921875" style="1431" customWidth="1"/>
    <col min="1283" max="1283" width="11.09765625" style="1431" customWidth="1"/>
    <col min="1284" max="1290" width="9.09765625" style="1431" customWidth="1"/>
    <col min="1291" max="1537" width="8.796875" style="1431"/>
    <col min="1538" max="1538" width="4.19921875" style="1431" customWidth="1"/>
    <col min="1539" max="1539" width="11.09765625" style="1431" customWidth="1"/>
    <col min="1540" max="1546" width="9.09765625" style="1431" customWidth="1"/>
    <col min="1547" max="1793" width="8.796875" style="1431"/>
    <col min="1794" max="1794" width="4.19921875" style="1431" customWidth="1"/>
    <col min="1795" max="1795" width="11.09765625" style="1431" customWidth="1"/>
    <col min="1796" max="1802" width="9.09765625" style="1431" customWidth="1"/>
    <col min="1803" max="2049" width="8.796875" style="1431"/>
    <col min="2050" max="2050" width="4.19921875" style="1431" customWidth="1"/>
    <col min="2051" max="2051" width="11.09765625" style="1431" customWidth="1"/>
    <col min="2052" max="2058" width="9.09765625" style="1431" customWidth="1"/>
    <col min="2059" max="2305" width="8.796875" style="1431"/>
    <col min="2306" max="2306" width="4.19921875" style="1431" customWidth="1"/>
    <col min="2307" max="2307" width="11.09765625" style="1431" customWidth="1"/>
    <col min="2308" max="2314" width="9.09765625" style="1431" customWidth="1"/>
    <col min="2315" max="2561" width="8.796875" style="1431"/>
    <col min="2562" max="2562" width="4.19921875" style="1431" customWidth="1"/>
    <col min="2563" max="2563" width="11.09765625" style="1431" customWidth="1"/>
    <col min="2564" max="2570" width="9.09765625" style="1431" customWidth="1"/>
    <col min="2571" max="2817" width="8.796875" style="1431"/>
    <col min="2818" max="2818" width="4.19921875" style="1431" customWidth="1"/>
    <col min="2819" max="2819" width="11.09765625" style="1431" customWidth="1"/>
    <col min="2820" max="2826" width="9.09765625" style="1431" customWidth="1"/>
    <col min="2827" max="3073" width="8.796875" style="1431"/>
    <col min="3074" max="3074" width="4.19921875" style="1431" customWidth="1"/>
    <col min="3075" max="3075" width="11.09765625" style="1431" customWidth="1"/>
    <col min="3076" max="3082" width="9.09765625" style="1431" customWidth="1"/>
    <col min="3083" max="3329" width="8.796875" style="1431"/>
    <col min="3330" max="3330" width="4.19921875" style="1431" customWidth="1"/>
    <col min="3331" max="3331" width="11.09765625" style="1431" customWidth="1"/>
    <col min="3332" max="3338" width="9.09765625" style="1431" customWidth="1"/>
    <col min="3339" max="3585" width="8.796875" style="1431"/>
    <col min="3586" max="3586" width="4.19921875" style="1431" customWidth="1"/>
    <col min="3587" max="3587" width="11.09765625" style="1431" customWidth="1"/>
    <col min="3588" max="3594" width="9.09765625" style="1431" customWidth="1"/>
    <col min="3595" max="3841" width="8.796875" style="1431"/>
    <col min="3842" max="3842" width="4.19921875" style="1431" customWidth="1"/>
    <col min="3843" max="3843" width="11.09765625" style="1431" customWidth="1"/>
    <col min="3844" max="3850" width="9.09765625" style="1431" customWidth="1"/>
    <col min="3851" max="4097" width="8.796875" style="1431"/>
    <col min="4098" max="4098" width="4.19921875" style="1431" customWidth="1"/>
    <col min="4099" max="4099" width="11.09765625" style="1431" customWidth="1"/>
    <col min="4100" max="4106" width="9.09765625" style="1431" customWidth="1"/>
    <col min="4107" max="4353" width="8.796875" style="1431"/>
    <col min="4354" max="4354" width="4.19921875" style="1431" customWidth="1"/>
    <col min="4355" max="4355" width="11.09765625" style="1431" customWidth="1"/>
    <col min="4356" max="4362" width="9.09765625" style="1431" customWidth="1"/>
    <col min="4363" max="4609" width="8.796875" style="1431"/>
    <col min="4610" max="4610" width="4.19921875" style="1431" customWidth="1"/>
    <col min="4611" max="4611" width="11.09765625" style="1431" customWidth="1"/>
    <col min="4612" max="4618" width="9.09765625" style="1431" customWidth="1"/>
    <col min="4619" max="4865" width="8.796875" style="1431"/>
    <col min="4866" max="4866" width="4.19921875" style="1431" customWidth="1"/>
    <col min="4867" max="4867" width="11.09765625" style="1431" customWidth="1"/>
    <col min="4868" max="4874" width="9.09765625" style="1431" customWidth="1"/>
    <col min="4875" max="5121" width="8.796875" style="1431"/>
    <col min="5122" max="5122" width="4.19921875" style="1431" customWidth="1"/>
    <col min="5123" max="5123" width="11.09765625" style="1431" customWidth="1"/>
    <col min="5124" max="5130" width="9.09765625" style="1431" customWidth="1"/>
    <col min="5131" max="5377" width="8.796875" style="1431"/>
    <col min="5378" max="5378" width="4.19921875" style="1431" customWidth="1"/>
    <col min="5379" max="5379" width="11.09765625" style="1431" customWidth="1"/>
    <col min="5380" max="5386" width="9.09765625" style="1431" customWidth="1"/>
    <col min="5387" max="5633" width="8.796875" style="1431"/>
    <col min="5634" max="5634" width="4.19921875" style="1431" customWidth="1"/>
    <col min="5635" max="5635" width="11.09765625" style="1431" customWidth="1"/>
    <col min="5636" max="5642" width="9.09765625" style="1431" customWidth="1"/>
    <col min="5643" max="5889" width="8.796875" style="1431"/>
    <col min="5890" max="5890" width="4.19921875" style="1431" customWidth="1"/>
    <col min="5891" max="5891" width="11.09765625" style="1431" customWidth="1"/>
    <col min="5892" max="5898" width="9.09765625" style="1431" customWidth="1"/>
    <col min="5899" max="6145" width="8.796875" style="1431"/>
    <col min="6146" max="6146" width="4.19921875" style="1431" customWidth="1"/>
    <col min="6147" max="6147" width="11.09765625" style="1431" customWidth="1"/>
    <col min="6148" max="6154" width="9.09765625" style="1431" customWidth="1"/>
    <col min="6155" max="6401" width="8.796875" style="1431"/>
    <col min="6402" max="6402" width="4.19921875" style="1431" customWidth="1"/>
    <col min="6403" max="6403" width="11.09765625" style="1431" customWidth="1"/>
    <col min="6404" max="6410" width="9.09765625" style="1431" customWidth="1"/>
    <col min="6411" max="6657" width="8.796875" style="1431"/>
    <col min="6658" max="6658" width="4.19921875" style="1431" customWidth="1"/>
    <col min="6659" max="6659" width="11.09765625" style="1431" customWidth="1"/>
    <col min="6660" max="6666" width="9.09765625" style="1431" customWidth="1"/>
    <col min="6667" max="6913" width="8.796875" style="1431"/>
    <col min="6914" max="6914" width="4.19921875" style="1431" customWidth="1"/>
    <col min="6915" max="6915" width="11.09765625" style="1431" customWidth="1"/>
    <col min="6916" max="6922" width="9.09765625" style="1431" customWidth="1"/>
    <col min="6923" max="7169" width="8.796875" style="1431"/>
    <col min="7170" max="7170" width="4.19921875" style="1431" customWidth="1"/>
    <col min="7171" max="7171" width="11.09765625" style="1431" customWidth="1"/>
    <col min="7172" max="7178" width="9.09765625" style="1431" customWidth="1"/>
    <col min="7179" max="7425" width="8.796875" style="1431"/>
    <col min="7426" max="7426" width="4.19921875" style="1431" customWidth="1"/>
    <col min="7427" max="7427" width="11.09765625" style="1431" customWidth="1"/>
    <col min="7428" max="7434" width="9.09765625" style="1431" customWidth="1"/>
    <col min="7435" max="7681" width="8.796875" style="1431"/>
    <col min="7682" max="7682" width="4.19921875" style="1431" customWidth="1"/>
    <col min="7683" max="7683" width="11.09765625" style="1431" customWidth="1"/>
    <col min="7684" max="7690" width="9.09765625" style="1431" customWidth="1"/>
    <col min="7691" max="7937" width="8.796875" style="1431"/>
    <col min="7938" max="7938" width="4.19921875" style="1431" customWidth="1"/>
    <col min="7939" max="7939" width="11.09765625" style="1431" customWidth="1"/>
    <col min="7940" max="7946" width="9.09765625" style="1431" customWidth="1"/>
    <col min="7947" max="8193" width="8.796875" style="1431"/>
    <col min="8194" max="8194" width="4.19921875" style="1431" customWidth="1"/>
    <col min="8195" max="8195" width="11.09765625" style="1431" customWidth="1"/>
    <col min="8196" max="8202" width="9.09765625" style="1431" customWidth="1"/>
    <col min="8203" max="8449" width="8.796875" style="1431"/>
    <col min="8450" max="8450" width="4.19921875" style="1431" customWidth="1"/>
    <col min="8451" max="8451" width="11.09765625" style="1431" customWidth="1"/>
    <col min="8452" max="8458" width="9.09765625" style="1431" customWidth="1"/>
    <col min="8459" max="8705" width="8.796875" style="1431"/>
    <col min="8706" max="8706" width="4.19921875" style="1431" customWidth="1"/>
    <col min="8707" max="8707" width="11.09765625" style="1431" customWidth="1"/>
    <col min="8708" max="8714" width="9.09765625" style="1431" customWidth="1"/>
    <col min="8715" max="8961" width="8.796875" style="1431"/>
    <col min="8962" max="8962" width="4.19921875" style="1431" customWidth="1"/>
    <col min="8963" max="8963" width="11.09765625" style="1431" customWidth="1"/>
    <col min="8964" max="8970" width="9.09765625" style="1431" customWidth="1"/>
    <col min="8971" max="9217" width="8.796875" style="1431"/>
    <col min="9218" max="9218" width="4.19921875" style="1431" customWidth="1"/>
    <col min="9219" max="9219" width="11.09765625" style="1431" customWidth="1"/>
    <col min="9220" max="9226" width="9.09765625" style="1431" customWidth="1"/>
    <col min="9227" max="9473" width="8.796875" style="1431"/>
    <col min="9474" max="9474" width="4.19921875" style="1431" customWidth="1"/>
    <col min="9475" max="9475" width="11.09765625" style="1431" customWidth="1"/>
    <col min="9476" max="9482" width="9.09765625" style="1431" customWidth="1"/>
    <col min="9483" max="9729" width="8.796875" style="1431"/>
    <col min="9730" max="9730" width="4.19921875" style="1431" customWidth="1"/>
    <col min="9731" max="9731" width="11.09765625" style="1431" customWidth="1"/>
    <col min="9732" max="9738" width="9.09765625" style="1431" customWidth="1"/>
    <col min="9739" max="9985" width="8.796875" style="1431"/>
    <col min="9986" max="9986" width="4.19921875" style="1431" customWidth="1"/>
    <col min="9987" max="9987" width="11.09765625" style="1431" customWidth="1"/>
    <col min="9988" max="9994" width="9.09765625" style="1431" customWidth="1"/>
    <col min="9995" max="10241" width="8.796875" style="1431"/>
    <col min="10242" max="10242" width="4.19921875" style="1431" customWidth="1"/>
    <col min="10243" max="10243" width="11.09765625" style="1431" customWidth="1"/>
    <col min="10244" max="10250" width="9.09765625" style="1431" customWidth="1"/>
    <col min="10251" max="10497" width="8.796875" style="1431"/>
    <col min="10498" max="10498" width="4.19921875" style="1431" customWidth="1"/>
    <col min="10499" max="10499" width="11.09765625" style="1431" customWidth="1"/>
    <col min="10500" max="10506" width="9.09765625" style="1431" customWidth="1"/>
    <col min="10507" max="10753" width="8.796875" style="1431"/>
    <col min="10754" max="10754" width="4.19921875" style="1431" customWidth="1"/>
    <col min="10755" max="10755" width="11.09765625" style="1431" customWidth="1"/>
    <col min="10756" max="10762" width="9.09765625" style="1431" customWidth="1"/>
    <col min="10763" max="11009" width="8.796875" style="1431"/>
    <col min="11010" max="11010" width="4.19921875" style="1431" customWidth="1"/>
    <col min="11011" max="11011" width="11.09765625" style="1431" customWidth="1"/>
    <col min="11012" max="11018" width="9.09765625" style="1431" customWidth="1"/>
    <col min="11019" max="11265" width="8.796875" style="1431"/>
    <col min="11266" max="11266" width="4.19921875" style="1431" customWidth="1"/>
    <col min="11267" max="11267" width="11.09765625" style="1431" customWidth="1"/>
    <col min="11268" max="11274" width="9.09765625" style="1431" customWidth="1"/>
    <col min="11275" max="11521" width="8.796875" style="1431"/>
    <col min="11522" max="11522" width="4.19921875" style="1431" customWidth="1"/>
    <col min="11523" max="11523" width="11.09765625" style="1431" customWidth="1"/>
    <col min="11524" max="11530" width="9.09765625" style="1431" customWidth="1"/>
    <col min="11531" max="11777" width="8.796875" style="1431"/>
    <col min="11778" max="11778" width="4.19921875" style="1431" customWidth="1"/>
    <col min="11779" max="11779" width="11.09765625" style="1431" customWidth="1"/>
    <col min="11780" max="11786" width="9.09765625" style="1431" customWidth="1"/>
    <col min="11787" max="12033" width="8.796875" style="1431"/>
    <col min="12034" max="12034" width="4.19921875" style="1431" customWidth="1"/>
    <col min="12035" max="12035" width="11.09765625" style="1431" customWidth="1"/>
    <col min="12036" max="12042" width="9.09765625" style="1431" customWidth="1"/>
    <col min="12043" max="12289" width="8.796875" style="1431"/>
    <col min="12290" max="12290" width="4.19921875" style="1431" customWidth="1"/>
    <col min="12291" max="12291" width="11.09765625" style="1431" customWidth="1"/>
    <col min="12292" max="12298" width="9.09765625" style="1431" customWidth="1"/>
    <col min="12299" max="12545" width="8.796875" style="1431"/>
    <col min="12546" max="12546" width="4.19921875" style="1431" customWidth="1"/>
    <col min="12547" max="12547" width="11.09765625" style="1431" customWidth="1"/>
    <col min="12548" max="12554" width="9.09765625" style="1431" customWidth="1"/>
    <col min="12555" max="12801" width="8.796875" style="1431"/>
    <col min="12802" max="12802" width="4.19921875" style="1431" customWidth="1"/>
    <col min="12803" max="12803" width="11.09765625" style="1431" customWidth="1"/>
    <col min="12804" max="12810" width="9.09765625" style="1431" customWidth="1"/>
    <col min="12811" max="13057" width="8.796875" style="1431"/>
    <col min="13058" max="13058" width="4.19921875" style="1431" customWidth="1"/>
    <col min="13059" max="13059" width="11.09765625" style="1431" customWidth="1"/>
    <col min="13060" max="13066" width="9.09765625" style="1431" customWidth="1"/>
    <col min="13067" max="13313" width="8.796875" style="1431"/>
    <col min="13314" max="13314" width="4.19921875" style="1431" customWidth="1"/>
    <col min="13315" max="13315" width="11.09765625" style="1431" customWidth="1"/>
    <col min="13316" max="13322" width="9.09765625" style="1431" customWidth="1"/>
    <col min="13323" max="13569" width="8.796875" style="1431"/>
    <col min="13570" max="13570" width="4.19921875" style="1431" customWidth="1"/>
    <col min="13571" max="13571" width="11.09765625" style="1431" customWidth="1"/>
    <col min="13572" max="13578" width="9.09765625" style="1431" customWidth="1"/>
    <col min="13579" max="13825" width="8.796875" style="1431"/>
    <col min="13826" max="13826" width="4.19921875" style="1431" customWidth="1"/>
    <col min="13827" max="13827" width="11.09765625" style="1431" customWidth="1"/>
    <col min="13828" max="13834" width="9.09765625" style="1431" customWidth="1"/>
    <col min="13835" max="14081" width="8.796875" style="1431"/>
    <col min="14082" max="14082" width="4.19921875" style="1431" customWidth="1"/>
    <col min="14083" max="14083" width="11.09765625" style="1431" customWidth="1"/>
    <col min="14084" max="14090" width="9.09765625" style="1431" customWidth="1"/>
    <col min="14091" max="14337" width="8.796875" style="1431"/>
    <col min="14338" max="14338" width="4.19921875" style="1431" customWidth="1"/>
    <col min="14339" max="14339" width="11.09765625" style="1431" customWidth="1"/>
    <col min="14340" max="14346" width="9.09765625" style="1431" customWidth="1"/>
    <col min="14347" max="14593" width="8.796875" style="1431"/>
    <col min="14594" max="14594" width="4.19921875" style="1431" customWidth="1"/>
    <col min="14595" max="14595" width="11.09765625" style="1431" customWidth="1"/>
    <col min="14596" max="14602" width="9.09765625" style="1431" customWidth="1"/>
    <col min="14603" max="14849" width="8.796875" style="1431"/>
    <col min="14850" max="14850" width="4.19921875" style="1431" customWidth="1"/>
    <col min="14851" max="14851" width="11.09765625" style="1431" customWidth="1"/>
    <col min="14852" max="14858" width="9.09765625" style="1431" customWidth="1"/>
    <col min="14859" max="15105" width="8.796875" style="1431"/>
    <col min="15106" max="15106" width="4.19921875" style="1431" customWidth="1"/>
    <col min="15107" max="15107" width="11.09765625" style="1431" customWidth="1"/>
    <col min="15108" max="15114" width="9.09765625" style="1431" customWidth="1"/>
    <col min="15115" max="15361" width="8.796875" style="1431"/>
    <col min="15362" max="15362" width="4.19921875" style="1431" customWidth="1"/>
    <col min="15363" max="15363" width="11.09765625" style="1431" customWidth="1"/>
    <col min="15364" max="15370" width="9.09765625" style="1431" customWidth="1"/>
    <col min="15371" max="15617" width="8.796875" style="1431"/>
    <col min="15618" max="15618" width="4.19921875" style="1431" customWidth="1"/>
    <col min="15619" max="15619" width="11.09765625" style="1431" customWidth="1"/>
    <col min="15620" max="15626" width="9.09765625" style="1431" customWidth="1"/>
    <col min="15627" max="15873" width="8.796875" style="1431"/>
    <col min="15874" max="15874" width="4.19921875" style="1431" customWidth="1"/>
    <col min="15875" max="15875" width="11.09765625" style="1431" customWidth="1"/>
    <col min="15876" max="15882" width="9.09765625" style="1431" customWidth="1"/>
    <col min="15883" max="16129" width="8.796875" style="1431"/>
    <col min="16130" max="16130" width="4.19921875" style="1431" customWidth="1"/>
    <col min="16131" max="16131" width="11.09765625" style="1431" customWidth="1"/>
    <col min="16132" max="16138" width="9.09765625" style="1431" customWidth="1"/>
    <col min="16139" max="16384" width="8.796875" style="1431"/>
  </cols>
  <sheetData>
    <row r="1" spans="1:10" ht="30" customHeight="1" thickBot="1">
      <c r="A1" s="1481" t="s">
        <v>3620</v>
      </c>
      <c r="J1" s="1999" t="s">
        <v>3607</v>
      </c>
    </row>
    <row r="2" spans="1:10" s="1236" customFormat="1" ht="10.8">
      <c r="A2" s="1991" t="s">
        <v>49</v>
      </c>
      <c r="B2" s="2390" t="s">
        <v>3621</v>
      </c>
      <c r="C2" s="2393"/>
      <c r="D2" s="1989" t="s">
        <v>175</v>
      </c>
      <c r="E2" s="1989" t="s">
        <v>3622</v>
      </c>
      <c r="F2" s="1989" t="s">
        <v>202</v>
      </c>
      <c r="G2" s="1989" t="s">
        <v>3623</v>
      </c>
      <c r="H2" s="1990" t="s">
        <v>204</v>
      </c>
      <c r="I2" s="1990" t="s">
        <v>205</v>
      </c>
      <c r="J2" s="1990" t="s">
        <v>206</v>
      </c>
    </row>
    <row r="3" spans="1:10" s="1236" customFormat="1" ht="19.2" customHeight="1">
      <c r="A3" s="2443" t="s">
        <v>316</v>
      </c>
      <c r="B3" s="2454" t="s">
        <v>3624</v>
      </c>
      <c r="C3" s="2455"/>
      <c r="D3" s="2027">
        <f>SUM(D4:D6)</f>
        <v>1311</v>
      </c>
      <c r="E3" s="2027">
        <f t="shared" ref="E3:J3" si="0">SUM(E4:E6)</f>
        <v>200</v>
      </c>
      <c r="F3" s="2027">
        <f t="shared" si="0"/>
        <v>304</v>
      </c>
      <c r="G3" s="2027">
        <f t="shared" si="0"/>
        <v>473</v>
      </c>
      <c r="H3" s="2027">
        <f t="shared" si="0"/>
        <v>180</v>
      </c>
      <c r="I3" s="2027">
        <f t="shared" si="0"/>
        <v>75</v>
      </c>
      <c r="J3" s="2016">
        <f t="shared" si="0"/>
        <v>79</v>
      </c>
    </row>
    <row r="4" spans="1:10" s="1236" customFormat="1" ht="19.2" customHeight="1">
      <c r="A4" s="2443"/>
      <c r="B4" s="2028"/>
      <c r="C4" s="2029" t="s">
        <v>3625</v>
      </c>
      <c r="D4" s="1386">
        <f>SUM(E4:J4)</f>
        <v>129</v>
      </c>
      <c r="E4" s="1386">
        <v>25</v>
      </c>
      <c r="F4" s="1386">
        <v>25</v>
      </c>
      <c r="G4" s="1386">
        <v>60</v>
      </c>
      <c r="H4" s="1387">
        <v>12</v>
      </c>
      <c r="I4" s="1387">
        <v>6</v>
      </c>
      <c r="J4" s="1387">
        <v>1</v>
      </c>
    </row>
    <row r="5" spans="1:10" s="1236" customFormat="1" ht="19.2" customHeight="1">
      <c r="A5" s="2443"/>
      <c r="B5" s="2028"/>
      <c r="C5" s="2029" t="s">
        <v>3626</v>
      </c>
      <c r="D5" s="1386">
        <f>SUM(E5:J5)</f>
        <v>380</v>
      </c>
      <c r="E5" s="1386">
        <v>55</v>
      </c>
      <c r="F5" s="1386">
        <v>99</v>
      </c>
      <c r="G5" s="1386">
        <v>146</v>
      </c>
      <c r="H5" s="1387">
        <v>44</v>
      </c>
      <c r="I5" s="1387">
        <v>20</v>
      </c>
      <c r="J5" s="1387">
        <v>16</v>
      </c>
    </row>
    <row r="6" spans="1:10" s="1236" customFormat="1" ht="19.2" customHeight="1">
      <c r="A6" s="2443"/>
      <c r="B6" s="2030"/>
      <c r="C6" s="2029" t="s">
        <v>3627</v>
      </c>
      <c r="D6" s="1976">
        <f>SUM(E6:J6)</f>
        <v>802</v>
      </c>
      <c r="E6" s="1976">
        <v>120</v>
      </c>
      <c r="F6" s="1976">
        <v>180</v>
      </c>
      <c r="G6" s="1976">
        <v>267</v>
      </c>
      <c r="H6" s="2012">
        <v>124</v>
      </c>
      <c r="I6" s="2012">
        <v>49</v>
      </c>
      <c r="J6" s="2012">
        <v>62</v>
      </c>
    </row>
    <row r="7" spans="1:10" s="1236" customFormat="1" ht="19.2" customHeight="1">
      <c r="A7" s="2431" t="s">
        <v>319</v>
      </c>
      <c r="B7" s="2452" t="s">
        <v>3624</v>
      </c>
      <c r="C7" s="2453"/>
      <c r="D7" s="1386">
        <f>SUM(D8:D10)</f>
        <v>1088</v>
      </c>
      <c r="E7" s="1386">
        <f t="shared" ref="E7:J7" si="1">SUM(E8:E10)</f>
        <v>171</v>
      </c>
      <c r="F7" s="1386">
        <f t="shared" si="1"/>
        <v>252</v>
      </c>
      <c r="G7" s="1386">
        <f t="shared" si="1"/>
        <v>398</v>
      </c>
      <c r="H7" s="1386">
        <f t="shared" si="1"/>
        <v>136</v>
      </c>
      <c r="I7" s="1386">
        <f t="shared" si="1"/>
        <v>66</v>
      </c>
      <c r="J7" s="1387">
        <f t="shared" si="1"/>
        <v>65</v>
      </c>
    </row>
    <row r="8" spans="1:10" s="1236" customFormat="1" ht="19.2" customHeight="1">
      <c r="A8" s="2443"/>
      <c r="B8" s="2028"/>
      <c r="C8" s="2029" t="s">
        <v>3625</v>
      </c>
      <c r="D8" s="1386">
        <f>SUM(E8:J8)</f>
        <v>91</v>
      </c>
      <c r="E8" s="1386">
        <v>17</v>
      </c>
      <c r="F8" s="1386">
        <v>13</v>
      </c>
      <c r="G8" s="1386">
        <v>48</v>
      </c>
      <c r="H8" s="1387">
        <v>8</v>
      </c>
      <c r="I8" s="1387">
        <v>5</v>
      </c>
      <c r="J8" s="2017" t="s">
        <v>305</v>
      </c>
    </row>
    <row r="9" spans="1:10" s="1236" customFormat="1" ht="19.2" customHeight="1">
      <c r="A9" s="2443"/>
      <c r="B9" s="2028"/>
      <c r="C9" s="2029" t="s">
        <v>3626</v>
      </c>
      <c r="D9" s="1386">
        <f>SUM(E9:J9)</f>
        <v>231</v>
      </c>
      <c r="E9" s="1386">
        <v>47</v>
      </c>
      <c r="F9" s="1386">
        <v>60</v>
      </c>
      <c r="G9" s="1386">
        <v>85</v>
      </c>
      <c r="H9" s="1387">
        <v>18</v>
      </c>
      <c r="I9" s="1387">
        <v>11</v>
      </c>
      <c r="J9" s="1387">
        <v>10</v>
      </c>
    </row>
    <row r="10" spans="1:10" s="1236" customFormat="1" ht="19.2" customHeight="1">
      <c r="A10" s="2443"/>
      <c r="B10" s="2030"/>
      <c r="C10" s="2029" t="s">
        <v>3627</v>
      </c>
      <c r="D10" s="1976">
        <f>SUM(E10:J10)</f>
        <v>766</v>
      </c>
      <c r="E10" s="1976">
        <v>107</v>
      </c>
      <c r="F10" s="1976">
        <v>179</v>
      </c>
      <c r="G10" s="1976">
        <v>265</v>
      </c>
      <c r="H10" s="2012">
        <v>110</v>
      </c>
      <c r="I10" s="2012">
        <v>50</v>
      </c>
      <c r="J10" s="2012">
        <v>55</v>
      </c>
    </row>
    <row r="11" spans="1:10" s="1236" customFormat="1" ht="19.2" customHeight="1">
      <c r="A11" s="2431" t="s">
        <v>43</v>
      </c>
      <c r="B11" s="2452" t="s">
        <v>3624</v>
      </c>
      <c r="C11" s="2453"/>
      <c r="D11" s="1386">
        <f>SUM(D12:D14)</f>
        <v>735</v>
      </c>
      <c r="E11" s="1386">
        <f t="shared" ref="E11:J11" si="2">SUM(E12:E14)</f>
        <v>94</v>
      </c>
      <c r="F11" s="1386">
        <f t="shared" si="2"/>
        <v>165</v>
      </c>
      <c r="G11" s="1386">
        <f t="shared" si="2"/>
        <v>304</v>
      </c>
      <c r="H11" s="1386">
        <f t="shared" si="2"/>
        <v>88</v>
      </c>
      <c r="I11" s="1386">
        <f t="shared" si="2"/>
        <v>50</v>
      </c>
      <c r="J11" s="1387">
        <f t="shared" si="2"/>
        <v>34</v>
      </c>
    </row>
    <row r="12" spans="1:10" s="1236" customFormat="1" ht="19.2" customHeight="1">
      <c r="A12" s="2443"/>
      <c r="B12" s="2028"/>
      <c r="C12" s="2029" t="s">
        <v>3625</v>
      </c>
      <c r="D12" s="1386">
        <f>SUM(E12:J12)</f>
        <v>70</v>
      </c>
      <c r="E12" s="1386">
        <v>10</v>
      </c>
      <c r="F12" s="1386">
        <v>11</v>
      </c>
      <c r="G12" s="1386">
        <v>37</v>
      </c>
      <c r="H12" s="1387">
        <v>7</v>
      </c>
      <c r="I12" s="1387">
        <v>4</v>
      </c>
      <c r="J12" s="2017">
        <v>1</v>
      </c>
    </row>
    <row r="13" spans="1:10" s="1236" customFormat="1" ht="19.2" customHeight="1">
      <c r="A13" s="2443"/>
      <c r="B13" s="2028"/>
      <c r="C13" s="2029" t="s">
        <v>3626</v>
      </c>
      <c r="D13" s="1386">
        <f>SUM(E13:J13)</f>
        <v>104</v>
      </c>
      <c r="E13" s="1386">
        <v>17</v>
      </c>
      <c r="F13" s="1386">
        <v>26</v>
      </c>
      <c r="G13" s="1386">
        <v>39</v>
      </c>
      <c r="H13" s="1387">
        <v>12</v>
      </c>
      <c r="I13" s="1387">
        <v>6</v>
      </c>
      <c r="J13" s="1387">
        <v>4</v>
      </c>
    </row>
    <row r="14" spans="1:10" s="1236" customFormat="1" ht="19.2" customHeight="1" thickBot="1">
      <c r="A14" s="2451"/>
      <c r="B14" s="2031"/>
      <c r="C14" s="2032" t="s">
        <v>3627</v>
      </c>
      <c r="D14" s="1393">
        <f>SUM(E14:J14)</f>
        <v>561</v>
      </c>
      <c r="E14" s="1393">
        <v>67</v>
      </c>
      <c r="F14" s="1393">
        <v>128</v>
      </c>
      <c r="G14" s="1393">
        <v>228</v>
      </c>
      <c r="H14" s="1394">
        <v>69</v>
      </c>
      <c r="I14" s="1394">
        <v>40</v>
      </c>
      <c r="J14" s="1394">
        <v>29</v>
      </c>
    </row>
    <row r="15" spans="1:10">
      <c r="A15" s="1236" t="s">
        <v>2710</v>
      </c>
      <c r="B15" s="1236"/>
      <c r="C15" s="1236"/>
      <c r="E15" s="1236"/>
      <c r="F15" s="1236"/>
      <c r="G15" s="1236"/>
      <c r="H15" s="1236"/>
      <c r="I15" s="1236"/>
      <c r="J15" s="1236"/>
    </row>
    <row r="16" spans="1:10">
      <c r="A16" s="1236" t="s">
        <v>3628</v>
      </c>
      <c r="B16" s="1236"/>
      <c r="C16" s="1236"/>
      <c r="E16" s="1236"/>
      <c r="F16" s="1236"/>
      <c r="G16" s="1236"/>
      <c r="H16" s="1236"/>
      <c r="I16" s="1236"/>
      <c r="J16" s="1236"/>
    </row>
    <row r="17" spans="1:10">
      <c r="A17" s="1236" t="s">
        <v>3629</v>
      </c>
      <c r="B17" s="1236"/>
      <c r="C17" s="1236"/>
      <c r="E17" s="1236"/>
      <c r="F17" s="1236"/>
      <c r="G17" s="1236"/>
      <c r="H17" s="1236"/>
      <c r="I17" s="1236"/>
      <c r="J17" s="1236"/>
    </row>
    <row r="18" spans="1:10">
      <c r="A18" s="1236" t="s">
        <v>3630</v>
      </c>
      <c r="B18" s="1236"/>
      <c r="C18" s="1236"/>
      <c r="E18" s="1236"/>
      <c r="F18" s="1236"/>
      <c r="G18" s="1236"/>
      <c r="H18" s="1236"/>
      <c r="I18" s="1236"/>
      <c r="J18" s="1236"/>
    </row>
    <row r="19" spans="1:10">
      <c r="A19" s="1236" t="s">
        <v>3674</v>
      </c>
    </row>
    <row r="23" spans="1:10">
      <c r="D23" s="2023"/>
      <c r="E23" s="2023"/>
      <c r="F23" s="2023"/>
      <c r="G23" s="2023"/>
      <c r="H23" s="2023"/>
      <c r="I23" s="2023"/>
      <c r="J23" s="2023"/>
    </row>
  </sheetData>
  <mergeCells count="7">
    <mergeCell ref="A11:A14"/>
    <mergeCell ref="B11:C11"/>
    <mergeCell ref="B2:C2"/>
    <mergeCell ref="A3:A6"/>
    <mergeCell ref="B3:C3"/>
    <mergeCell ref="A7:A10"/>
    <mergeCell ref="B7:C7"/>
  </mergeCells>
  <phoneticPr fontId="4"/>
  <pageMargins left="0.7" right="0.7" top="0.75" bottom="0.75" header="0.3" footer="0.3"/>
  <pageSetup paperSize="9" scale="91"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B5978-60BE-4EB5-84F1-3B9278027D18}">
  <sheetPr codeName="Sheet97"/>
  <dimension ref="A1:AD39"/>
  <sheetViews>
    <sheetView zoomScaleNormal="100" workbookViewId="0"/>
  </sheetViews>
  <sheetFormatPr defaultRowHeight="13.2"/>
  <cols>
    <col min="1" max="1" width="8.296875" style="1343" customWidth="1"/>
    <col min="2" max="2" width="7.796875" style="1343" customWidth="1"/>
    <col min="3" max="6" width="6.3984375" style="1343" customWidth="1"/>
    <col min="7" max="7" width="6.69921875" style="1343" customWidth="1"/>
    <col min="8" max="10" width="6.3984375" style="1343" customWidth="1"/>
    <col min="11" max="11" width="6.69921875" style="1343" customWidth="1"/>
    <col min="12" max="13" width="6.3984375" style="1343" customWidth="1"/>
    <col min="14" max="255" width="8.796875" style="1343"/>
    <col min="256" max="256" width="6" style="1343" customWidth="1"/>
    <col min="257" max="261" width="6.3984375" style="1343" customWidth="1"/>
    <col min="262" max="262" width="6.69921875" style="1343" customWidth="1"/>
    <col min="263" max="265" width="6.3984375" style="1343" customWidth="1"/>
    <col min="266" max="266" width="6.69921875" style="1343" customWidth="1"/>
    <col min="267" max="269" width="6.3984375" style="1343" customWidth="1"/>
    <col min="270" max="511" width="8.796875" style="1343"/>
    <col min="512" max="512" width="6" style="1343" customWidth="1"/>
    <col min="513" max="517" width="6.3984375" style="1343" customWidth="1"/>
    <col min="518" max="518" width="6.69921875" style="1343" customWidth="1"/>
    <col min="519" max="521" width="6.3984375" style="1343" customWidth="1"/>
    <col min="522" max="522" width="6.69921875" style="1343" customWidth="1"/>
    <col min="523" max="525" width="6.3984375" style="1343" customWidth="1"/>
    <col min="526" max="767" width="8.796875" style="1343"/>
    <col min="768" max="768" width="6" style="1343" customWidth="1"/>
    <col min="769" max="773" width="6.3984375" style="1343" customWidth="1"/>
    <col min="774" max="774" width="6.69921875" style="1343" customWidth="1"/>
    <col min="775" max="777" width="6.3984375" style="1343" customWidth="1"/>
    <col min="778" max="778" width="6.69921875" style="1343" customWidth="1"/>
    <col min="779" max="781" width="6.3984375" style="1343" customWidth="1"/>
    <col min="782" max="1023" width="8.796875" style="1343"/>
    <col min="1024" max="1024" width="6" style="1343" customWidth="1"/>
    <col min="1025" max="1029" width="6.3984375" style="1343" customWidth="1"/>
    <col min="1030" max="1030" width="6.69921875" style="1343" customWidth="1"/>
    <col min="1031" max="1033" width="6.3984375" style="1343" customWidth="1"/>
    <col min="1034" max="1034" width="6.69921875" style="1343" customWidth="1"/>
    <col min="1035" max="1037" width="6.3984375" style="1343" customWidth="1"/>
    <col min="1038" max="1279" width="8.796875" style="1343"/>
    <col min="1280" max="1280" width="6" style="1343" customWidth="1"/>
    <col min="1281" max="1285" width="6.3984375" style="1343" customWidth="1"/>
    <col min="1286" max="1286" width="6.69921875" style="1343" customWidth="1"/>
    <col min="1287" max="1289" width="6.3984375" style="1343" customWidth="1"/>
    <col min="1290" max="1290" width="6.69921875" style="1343" customWidth="1"/>
    <col min="1291" max="1293" width="6.3984375" style="1343" customWidth="1"/>
    <col min="1294" max="1535" width="8.796875" style="1343"/>
    <col min="1536" max="1536" width="6" style="1343" customWidth="1"/>
    <col min="1537" max="1541" width="6.3984375" style="1343" customWidth="1"/>
    <col min="1542" max="1542" width="6.69921875" style="1343" customWidth="1"/>
    <col min="1543" max="1545" width="6.3984375" style="1343" customWidth="1"/>
    <col min="1546" max="1546" width="6.69921875" style="1343" customWidth="1"/>
    <col min="1547" max="1549" width="6.3984375" style="1343" customWidth="1"/>
    <col min="1550" max="1791" width="8.796875" style="1343"/>
    <col min="1792" max="1792" width="6" style="1343" customWidth="1"/>
    <col min="1793" max="1797" width="6.3984375" style="1343" customWidth="1"/>
    <col min="1798" max="1798" width="6.69921875" style="1343" customWidth="1"/>
    <col min="1799" max="1801" width="6.3984375" style="1343" customWidth="1"/>
    <col min="1802" max="1802" width="6.69921875" style="1343" customWidth="1"/>
    <col min="1803" max="1805" width="6.3984375" style="1343" customWidth="1"/>
    <col min="1806" max="2047" width="8.796875" style="1343"/>
    <col min="2048" max="2048" width="6" style="1343" customWidth="1"/>
    <col min="2049" max="2053" width="6.3984375" style="1343" customWidth="1"/>
    <col min="2054" max="2054" width="6.69921875" style="1343" customWidth="1"/>
    <col min="2055" max="2057" width="6.3984375" style="1343" customWidth="1"/>
    <col min="2058" max="2058" width="6.69921875" style="1343" customWidth="1"/>
    <col min="2059" max="2061" width="6.3984375" style="1343" customWidth="1"/>
    <col min="2062" max="2303" width="8.796875" style="1343"/>
    <col min="2304" max="2304" width="6" style="1343" customWidth="1"/>
    <col min="2305" max="2309" width="6.3984375" style="1343" customWidth="1"/>
    <col min="2310" max="2310" width="6.69921875" style="1343" customWidth="1"/>
    <col min="2311" max="2313" width="6.3984375" style="1343" customWidth="1"/>
    <col min="2314" max="2314" width="6.69921875" style="1343" customWidth="1"/>
    <col min="2315" max="2317" width="6.3984375" style="1343" customWidth="1"/>
    <col min="2318" max="2559" width="8.796875" style="1343"/>
    <col min="2560" max="2560" width="6" style="1343" customWidth="1"/>
    <col min="2561" max="2565" width="6.3984375" style="1343" customWidth="1"/>
    <col min="2566" max="2566" width="6.69921875" style="1343" customWidth="1"/>
    <col min="2567" max="2569" width="6.3984375" style="1343" customWidth="1"/>
    <col min="2570" max="2570" width="6.69921875" style="1343" customWidth="1"/>
    <col min="2571" max="2573" width="6.3984375" style="1343" customWidth="1"/>
    <col min="2574" max="2815" width="8.796875" style="1343"/>
    <col min="2816" max="2816" width="6" style="1343" customWidth="1"/>
    <col min="2817" max="2821" width="6.3984375" style="1343" customWidth="1"/>
    <col min="2822" max="2822" width="6.69921875" style="1343" customWidth="1"/>
    <col min="2823" max="2825" width="6.3984375" style="1343" customWidth="1"/>
    <col min="2826" max="2826" width="6.69921875" style="1343" customWidth="1"/>
    <col min="2827" max="2829" width="6.3984375" style="1343" customWidth="1"/>
    <col min="2830" max="3071" width="8.796875" style="1343"/>
    <col min="3072" max="3072" width="6" style="1343" customWidth="1"/>
    <col min="3073" max="3077" width="6.3984375" style="1343" customWidth="1"/>
    <col min="3078" max="3078" width="6.69921875" style="1343" customWidth="1"/>
    <col min="3079" max="3081" width="6.3984375" style="1343" customWidth="1"/>
    <col min="3082" max="3082" width="6.69921875" style="1343" customWidth="1"/>
    <col min="3083" max="3085" width="6.3984375" style="1343" customWidth="1"/>
    <col min="3086" max="3327" width="8.796875" style="1343"/>
    <col min="3328" max="3328" width="6" style="1343" customWidth="1"/>
    <col min="3329" max="3333" width="6.3984375" style="1343" customWidth="1"/>
    <col min="3334" max="3334" width="6.69921875" style="1343" customWidth="1"/>
    <col min="3335" max="3337" width="6.3984375" style="1343" customWidth="1"/>
    <col min="3338" max="3338" width="6.69921875" style="1343" customWidth="1"/>
    <col min="3339" max="3341" width="6.3984375" style="1343" customWidth="1"/>
    <col min="3342" max="3583" width="8.796875" style="1343"/>
    <col min="3584" max="3584" width="6" style="1343" customWidth="1"/>
    <col min="3585" max="3589" width="6.3984375" style="1343" customWidth="1"/>
    <col min="3590" max="3590" width="6.69921875" style="1343" customWidth="1"/>
    <col min="3591" max="3593" width="6.3984375" style="1343" customWidth="1"/>
    <col min="3594" max="3594" width="6.69921875" style="1343" customWidth="1"/>
    <col min="3595" max="3597" width="6.3984375" style="1343" customWidth="1"/>
    <col min="3598" max="3839" width="8.796875" style="1343"/>
    <col min="3840" max="3840" width="6" style="1343" customWidth="1"/>
    <col min="3841" max="3845" width="6.3984375" style="1343" customWidth="1"/>
    <col min="3846" max="3846" width="6.69921875" style="1343" customWidth="1"/>
    <col min="3847" max="3849" width="6.3984375" style="1343" customWidth="1"/>
    <col min="3850" max="3850" width="6.69921875" style="1343" customWidth="1"/>
    <col min="3851" max="3853" width="6.3984375" style="1343" customWidth="1"/>
    <col min="3854" max="4095" width="8.796875" style="1343"/>
    <col min="4096" max="4096" width="6" style="1343" customWidth="1"/>
    <col min="4097" max="4101" width="6.3984375" style="1343" customWidth="1"/>
    <col min="4102" max="4102" width="6.69921875" style="1343" customWidth="1"/>
    <col min="4103" max="4105" width="6.3984375" style="1343" customWidth="1"/>
    <col min="4106" max="4106" width="6.69921875" style="1343" customWidth="1"/>
    <col min="4107" max="4109" width="6.3984375" style="1343" customWidth="1"/>
    <col min="4110" max="4351" width="8.796875" style="1343"/>
    <col min="4352" max="4352" width="6" style="1343" customWidth="1"/>
    <col min="4353" max="4357" width="6.3984375" style="1343" customWidth="1"/>
    <col min="4358" max="4358" width="6.69921875" style="1343" customWidth="1"/>
    <col min="4359" max="4361" width="6.3984375" style="1343" customWidth="1"/>
    <col min="4362" max="4362" width="6.69921875" style="1343" customWidth="1"/>
    <col min="4363" max="4365" width="6.3984375" style="1343" customWidth="1"/>
    <col min="4366" max="4607" width="8.796875" style="1343"/>
    <col min="4608" max="4608" width="6" style="1343" customWidth="1"/>
    <col min="4609" max="4613" width="6.3984375" style="1343" customWidth="1"/>
    <col min="4614" max="4614" width="6.69921875" style="1343" customWidth="1"/>
    <col min="4615" max="4617" width="6.3984375" style="1343" customWidth="1"/>
    <col min="4618" max="4618" width="6.69921875" style="1343" customWidth="1"/>
    <col min="4619" max="4621" width="6.3984375" style="1343" customWidth="1"/>
    <col min="4622" max="4863" width="8.796875" style="1343"/>
    <col min="4864" max="4864" width="6" style="1343" customWidth="1"/>
    <col min="4865" max="4869" width="6.3984375" style="1343" customWidth="1"/>
    <col min="4870" max="4870" width="6.69921875" style="1343" customWidth="1"/>
    <col min="4871" max="4873" width="6.3984375" style="1343" customWidth="1"/>
    <col min="4874" max="4874" width="6.69921875" style="1343" customWidth="1"/>
    <col min="4875" max="4877" width="6.3984375" style="1343" customWidth="1"/>
    <col min="4878" max="5119" width="8.796875" style="1343"/>
    <col min="5120" max="5120" width="6" style="1343" customWidth="1"/>
    <col min="5121" max="5125" width="6.3984375" style="1343" customWidth="1"/>
    <col min="5126" max="5126" width="6.69921875" style="1343" customWidth="1"/>
    <col min="5127" max="5129" width="6.3984375" style="1343" customWidth="1"/>
    <col min="5130" max="5130" width="6.69921875" style="1343" customWidth="1"/>
    <col min="5131" max="5133" width="6.3984375" style="1343" customWidth="1"/>
    <col min="5134" max="5375" width="8.796875" style="1343"/>
    <col min="5376" max="5376" width="6" style="1343" customWidth="1"/>
    <col min="5377" max="5381" width="6.3984375" style="1343" customWidth="1"/>
    <col min="5382" max="5382" width="6.69921875" style="1343" customWidth="1"/>
    <col min="5383" max="5385" width="6.3984375" style="1343" customWidth="1"/>
    <col min="5386" max="5386" width="6.69921875" style="1343" customWidth="1"/>
    <col min="5387" max="5389" width="6.3984375" style="1343" customWidth="1"/>
    <col min="5390" max="5631" width="8.796875" style="1343"/>
    <col min="5632" max="5632" width="6" style="1343" customWidth="1"/>
    <col min="5633" max="5637" width="6.3984375" style="1343" customWidth="1"/>
    <col min="5638" max="5638" width="6.69921875" style="1343" customWidth="1"/>
    <col min="5639" max="5641" width="6.3984375" style="1343" customWidth="1"/>
    <col min="5642" max="5642" width="6.69921875" style="1343" customWidth="1"/>
    <col min="5643" max="5645" width="6.3984375" style="1343" customWidth="1"/>
    <col min="5646" max="5887" width="8.796875" style="1343"/>
    <col min="5888" max="5888" width="6" style="1343" customWidth="1"/>
    <col min="5889" max="5893" width="6.3984375" style="1343" customWidth="1"/>
    <col min="5894" max="5894" width="6.69921875" style="1343" customWidth="1"/>
    <col min="5895" max="5897" width="6.3984375" style="1343" customWidth="1"/>
    <col min="5898" max="5898" width="6.69921875" style="1343" customWidth="1"/>
    <col min="5899" max="5901" width="6.3984375" style="1343" customWidth="1"/>
    <col min="5902" max="6143" width="8.796875" style="1343"/>
    <col min="6144" max="6144" width="6" style="1343" customWidth="1"/>
    <col min="6145" max="6149" width="6.3984375" style="1343" customWidth="1"/>
    <col min="6150" max="6150" width="6.69921875" style="1343" customWidth="1"/>
    <col min="6151" max="6153" width="6.3984375" style="1343" customWidth="1"/>
    <col min="6154" max="6154" width="6.69921875" style="1343" customWidth="1"/>
    <col min="6155" max="6157" width="6.3984375" style="1343" customWidth="1"/>
    <col min="6158" max="6399" width="8.796875" style="1343"/>
    <col min="6400" max="6400" width="6" style="1343" customWidth="1"/>
    <col min="6401" max="6405" width="6.3984375" style="1343" customWidth="1"/>
    <col min="6406" max="6406" width="6.69921875" style="1343" customWidth="1"/>
    <col min="6407" max="6409" width="6.3984375" style="1343" customWidth="1"/>
    <col min="6410" max="6410" width="6.69921875" style="1343" customWidth="1"/>
    <col min="6411" max="6413" width="6.3984375" style="1343" customWidth="1"/>
    <col min="6414" max="6655" width="8.796875" style="1343"/>
    <col min="6656" max="6656" width="6" style="1343" customWidth="1"/>
    <col min="6657" max="6661" width="6.3984375" style="1343" customWidth="1"/>
    <col min="6662" max="6662" width="6.69921875" style="1343" customWidth="1"/>
    <col min="6663" max="6665" width="6.3984375" style="1343" customWidth="1"/>
    <col min="6666" max="6666" width="6.69921875" style="1343" customWidth="1"/>
    <col min="6667" max="6669" width="6.3984375" style="1343" customWidth="1"/>
    <col min="6670" max="6911" width="8.796875" style="1343"/>
    <col min="6912" max="6912" width="6" style="1343" customWidth="1"/>
    <col min="6913" max="6917" width="6.3984375" style="1343" customWidth="1"/>
    <col min="6918" max="6918" width="6.69921875" style="1343" customWidth="1"/>
    <col min="6919" max="6921" width="6.3984375" style="1343" customWidth="1"/>
    <col min="6922" max="6922" width="6.69921875" style="1343" customWidth="1"/>
    <col min="6923" max="6925" width="6.3984375" style="1343" customWidth="1"/>
    <col min="6926" max="7167" width="8.796875" style="1343"/>
    <col min="7168" max="7168" width="6" style="1343" customWidth="1"/>
    <col min="7169" max="7173" width="6.3984375" style="1343" customWidth="1"/>
    <col min="7174" max="7174" width="6.69921875" style="1343" customWidth="1"/>
    <col min="7175" max="7177" width="6.3984375" style="1343" customWidth="1"/>
    <col min="7178" max="7178" width="6.69921875" style="1343" customWidth="1"/>
    <col min="7179" max="7181" width="6.3984375" style="1343" customWidth="1"/>
    <col min="7182" max="7423" width="8.796875" style="1343"/>
    <col min="7424" max="7424" width="6" style="1343" customWidth="1"/>
    <col min="7425" max="7429" width="6.3984375" style="1343" customWidth="1"/>
    <col min="7430" max="7430" width="6.69921875" style="1343" customWidth="1"/>
    <col min="7431" max="7433" width="6.3984375" style="1343" customWidth="1"/>
    <col min="7434" max="7434" width="6.69921875" style="1343" customWidth="1"/>
    <col min="7435" max="7437" width="6.3984375" style="1343" customWidth="1"/>
    <col min="7438" max="7679" width="8.796875" style="1343"/>
    <col min="7680" max="7680" width="6" style="1343" customWidth="1"/>
    <col min="7681" max="7685" width="6.3984375" style="1343" customWidth="1"/>
    <col min="7686" max="7686" width="6.69921875" style="1343" customWidth="1"/>
    <col min="7687" max="7689" width="6.3984375" style="1343" customWidth="1"/>
    <col min="7690" max="7690" width="6.69921875" style="1343" customWidth="1"/>
    <col min="7691" max="7693" width="6.3984375" style="1343" customWidth="1"/>
    <col min="7694" max="7935" width="8.796875" style="1343"/>
    <col min="7936" max="7936" width="6" style="1343" customWidth="1"/>
    <col min="7937" max="7941" width="6.3984375" style="1343" customWidth="1"/>
    <col min="7942" max="7942" width="6.69921875" style="1343" customWidth="1"/>
    <col min="7943" max="7945" width="6.3984375" style="1343" customWidth="1"/>
    <col min="7946" max="7946" width="6.69921875" style="1343" customWidth="1"/>
    <col min="7947" max="7949" width="6.3984375" style="1343" customWidth="1"/>
    <col min="7950" max="8191" width="8.796875" style="1343"/>
    <col min="8192" max="8192" width="6" style="1343" customWidth="1"/>
    <col min="8193" max="8197" width="6.3984375" style="1343" customWidth="1"/>
    <col min="8198" max="8198" width="6.69921875" style="1343" customWidth="1"/>
    <col min="8199" max="8201" width="6.3984375" style="1343" customWidth="1"/>
    <col min="8202" max="8202" width="6.69921875" style="1343" customWidth="1"/>
    <col min="8203" max="8205" width="6.3984375" style="1343" customWidth="1"/>
    <col min="8206" max="8447" width="8.796875" style="1343"/>
    <col min="8448" max="8448" width="6" style="1343" customWidth="1"/>
    <col min="8449" max="8453" width="6.3984375" style="1343" customWidth="1"/>
    <col min="8454" max="8454" width="6.69921875" style="1343" customWidth="1"/>
    <col min="8455" max="8457" width="6.3984375" style="1343" customWidth="1"/>
    <col min="8458" max="8458" width="6.69921875" style="1343" customWidth="1"/>
    <col min="8459" max="8461" width="6.3984375" style="1343" customWidth="1"/>
    <col min="8462" max="8703" width="8.796875" style="1343"/>
    <col min="8704" max="8704" width="6" style="1343" customWidth="1"/>
    <col min="8705" max="8709" width="6.3984375" style="1343" customWidth="1"/>
    <col min="8710" max="8710" width="6.69921875" style="1343" customWidth="1"/>
    <col min="8711" max="8713" width="6.3984375" style="1343" customWidth="1"/>
    <col min="8714" max="8714" width="6.69921875" style="1343" customWidth="1"/>
    <col min="8715" max="8717" width="6.3984375" style="1343" customWidth="1"/>
    <col min="8718" max="8959" width="8.796875" style="1343"/>
    <col min="8960" max="8960" width="6" style="1343" customWidth="1"/>
    <col min="8961" max="8965" width="6.3984375" style="1343" customWidth="1"/>
    <col min="8966" max="8966" width="6.69921875" style="1343" customWidth="1"/>
    <col min="8967" max="8969" width="6.3984375" style="1343" customWidth="1"/>
    <col min="8970" max="8970" width="6.69921875" style="1343" customWidth="1"/>
    <col min="8971" max="8973" width="6.3984375" style="1343" customWidth="1"/>
    <col min="8974" max="9215" width="8.796875" style="1343"/>
    <col min="9216" max="9216" width="6" style="1343" customWidth="1"/>
    <col min="9217" max="9221" width="6.3984375" style="1343" customWidth="1"/>
    <col min="9222" max="9222" width="6.69921875" style="1343" customWidth="1"/>
    <col min="9223" max="9225" width="6.3984375" style="1343" customWidth="1"/>
    <col min="9226" max="9226" width="6.69921875" style="1343" customWidth="1"/>
    <col min="9227" max="9229" width="6.3984375" style="1343" customWidth="1"/>
    <col min="9230" max="9471" width="8.796875" style="1343"/>
    <col min="9472" max="9472" width="6" style="1343" customWidth="1"/>
    <col min="9473" max="9477" width="6.3984375" style="1343" customWidth="1"/>
    <col min="9478" max="9478" width="6.69921875" style="1343" customWidth="1"/>
    <col min="9479" max="9481" width="6.3984375" style="1343" customWidth="1"/>
    <col min="9482" max="9482" width="6.69921875" style="1343" customWidth="1"/>
    <col min="9483" max="9485" width="6.3984375" style="1343" customWidth="1"/>
    <col min="9486" max="9727" width="8.796875" style="1343"/>
    <col min="9728" max="9728" width="6" style="1343" customWidth="1"/>
    <col min="9729" max="9733" width="6.3984375" style="1343" customWidth="1"/>
    <col min="9734" max="9734" width="6.69921875" style="1343" customWidth="1"/>
    <col min="9735" max="9737" width="6.3984375" style="1343" customWidth="1"/>
    <col min="9738" max="9738" width="6.69921875" style="1343" customWidth="1"/>
    <col min="9739" max="9741" width="6.3984375" style="1343" customWidth="1"/>
    <col min="9742" max="9983" width="8.796875" style="1343"/>
    <col min="9984" max="9984" width="6" style="1343" customWidth="1"/>
    <col min="9985" max="9989" width="6.3984375" style="1343" customWidth="1"/>
    <col min="9990" max="9990" width="6.69921875" style="1343" customWidth="1"/>
    <col min="9991" max="9993" width="6.3984375" style="1343" customWidth="1"/>
    <col min="9994" max="9994" width="6.69921875" style="1343" customWidth="1"/>
    <col min="9995" max="9997" width="6.3984375" style="1343" customWidth="1"/>
    <col min="9998" max="10239" width="8.796875" style="1343"/>
    <col min="10240" max="10240" width="6" style="1343" customWidth="1"/>
    <col min="10241" max="10245" width="6.3984375" style="1343" customWidth="1"/>
    <col min="10246" max="10246" width="6.69921875" style="1343" customWidth="1"/>
    <col min="10247" max="10249" width="6.3984375" style="1343" customWidth="1"/>
    <col min="10250" max="10250" width="6.69921875" style="1343" customWidth="1"/>
    <col min="10251" max="10253" width="6.3984375" style="1343" customWidth="1"/>
    <col min="10254" max="10495" width="8.796875" style="1343"/>
    <col min="10496" max="10496" width="6" style="1343" customWidth="1"/>
    <col min="10497" max="10501" width="6.3984375" style="1343" customWidth="1"/>
    <col min="10502" max="10502" width="6.69921875" style="1343" customWidth="1"/>
    <col min="10503" max="10505" width="6.3984375" style="1343" customWidth="1"/>
    <col min="10506" max="10506" width="6.69921875" style="1343" customWidth="1"/>
    <col min="10507" max="10509" width="6.3984375" style="1343" customWidth="1"/>
    <col min="10510" max="10751" width="8.796875" style="1343"/>
    <col min="10752" max="10752" width="6" style="1343" customWidth="1"/>
    <col min="10753" max="10757" width="6.3984375" style="1343" customWidth="1"/>
    <col min="10758" max="10758" width="6.69921875" style="1343" customWidth="1"/>
    <col min="10759" max="10761" width="6.3984375" style="1343" customWidth="1"/>
    <col min="10762" max="10762" width="6.69921875" style="1343" customWidth="1"/>
    <col min="10763" max="10765" width="6.3984375" style="1343" customWidth="1"/>
    <col min="10766" max="11007" width="8.796875" style="1343"/>
    <col min="11008" max="11008" width="6" style="1343" customWidth="1"/>
    <col min="11009" max="11013" width="6.3984375" style="1343" customWidth="1"/>
    <col min="11014" max="11014" width="6.69921875" style="1343" customWidth="1"/>
    <col min="11015" max="11017" width="6.3984375" style="1343" customWidth="1"/>
    <col min="11018" max="11018" width="6.69921875" style="1343" customWidth="1"/>
    <col min="11019" max="11021" width="6.3984375" style="1343" customWidth="1"/>
    <col min="11022" max="11263" width="8.796875" style="1343"/>
    <col min="11264" max="11264" width="6" style="1343" customWidth="1"/>
    <col min="11265" max="11269" width="6.3984375" style="1343" customWidth="1"/>
    <col min="11270" max="11270" width="6.69921875" style="1343" customWidth="1"/>
    <col min="11271" max="11273" width="6.3984375" style="1343" customWidth="1"/>
    <col min="11274" max="11274" width="6.69921875" style="1343" customWidth="1"/>
    <col min="11275" max="11277" width="6.3984375" style="1343" customWidth="1"/>
    <col min="11278" max="11519" width="8.796875" style="1343"/>
    <col min="11520" max="11520" width="6" style="1343" customWidth="1"/>
    <col min="11521" max="11525" width="6.3984375" style="1343" customWidth="1"/>
    <col min="11526" max="11526" width="6.69921875" style="1343" customWidth="1"/>
    <col min="11527" max="11529" width="6.3984375" style="1343" customWidth="1"/>
    <col min="11530" max="11530" width="6.69921875" style="1343" customWidth="1"/>
    <col min="11531" max="11533" width="6.3984375" style="1343" customWidth="1"/>
    <col min="11534" max="11775" width="8.796875" style="1343"/>
    <col min="11776" max="11776" width="6" style="1343" customWidth="1"/>
    <col min="11777" max="11781" width="6.3984375" style="1343" customWidth="1"/>
    <col min="11782" max="11782" width="6.69921875" style="1343" customWidth="1"/>
    <col min="11783" max="11785" width="6.3984375" style="1343" customWidth="1"/>
    <col min="11786" max="11786" width="6.69921875" style="1343" customWidth="1"/>
    <col min="11787" max="11789" width="6.3984375" style="1343" customWidth="1"/>
    <col min="11790" max="12031" width="8.796875" style="1343"/>
    <col min="12032" max="12032" width="6" style="1343" customWidth="1"/>
    <col min="12033" max="12037" width="6.3984375" style="1343" customWidth="1"/>
    <col min="12038" max="12038" width="6.69921875" style="1343" customWidth="1"/>
    <col min="12039" max="12041" width="6.3984375" style="1343" customWidth="1"/>
    <col min="12042" max="12042" width="6.69921875" style="1343" customWidth="1"/>
    <col min="12043" max="12045" width="6.3984375" style="1343" customWidth="1"/>
    <col min="12046" max="12287" width="8.796875" style="1343"/>
    <col min="12288" max="12288" width="6" style="1343" customWidth="1"/>
    <col min="12289" max="12293" width="6.3984375" style="1343" customWidth="1"/>
    <col min="12294" max="12294" width="6.69921875" style="1343" customWidth="1"/>
    <col min="12295" max="12297" width="6.3984375" style="1343" customWidth="1"/>
    <col min="12298" max="12298" width="6.69921875" style="1343" customWidth="1"/>
    <col min="12299" max="12301" width="6.3984375" style="1343" customWidth="1"/>
    <col min="12302" max="12543" width="8.796875" style="1343"/>
    <col min="12544" max="12544" width="6" style="1343" customWidth="1"/>
    <col min="12545" max="12549" width="6.3984375" style="1343" customWidth="1"/>
    <col min="12550" max="12550" width="6.69921875" style="1343" customWidth="1"/>
    <col min="12551" max="12553" width="6.3984375" style="1343" customWidth="1"/>
    <col min="12554" max="12554" width="6.69921875" style="1343" customWidth="1"/>
    <col min="12555" max="12557" width="6.3984375" style="1343" customWidth="1"/>
    <col min="12558" max="12799" width="8.796875" style="1343"/>
    <col min="12800" max="12800" width="6" style="1343" customWidth="1"/>
    <col min="12801" max="12805" width="6.3984375" style="1343" customWidth="1"/>
    <col min="12806" max="12806" width="6.69921875" style="1343" customWidth="1"/>
    <col min="12807" max="12809" width="6.3984375" style="1343" customWidth="1"/>
    <col min="12810" max="12810" width="6.69921875" style="1343" customWidth="1"/>
    <col min="12811" max="12813" width="6.3984375" style="1343" customWidth="1"/>
    <col min="12814" max="13055" width="8.796875" style="1343"/>
    <col min="13056" max="13056" width="6" style="1343" customWidth="1"/>
    <col min="13057" max="13061" width="6.3984375" style="1343" customWidth="1"/>
    <col min="13062" max="13062" width="6.69921875" style="1343" customWidth="1"/>
    <col min="13063" max="13065" width="6.3984375" style="1343" customWidth="1"/>
    <col min="13066" max="13066" width="6.69921875" style="1343" customWidth="1"/>
    <col min="13067" max="13069" width="6.3984375" style="1343" customWidth="1"/>
    <col min="13070" max="13311" width="8.796875" style="1343"/>
    <col min="13312" max="13312" width="6" style="1343" customWidth="1"/>
    <col min="13313" max="13317" width="6.3984375" style="1343" customWidth="1"/>
    <col min="13318" max="13318" width="6.69921875" style="1343" customWidth="1"/>
    <col min="13319" max="13321" width="6.3984375" style="1343" customWidth="1"/>
    <col min="13322" max="13322" width="6.69921875" style="1343" customWidth="1"/>
    <col min="13323" max="13325" width="6.3984375" style="1343" customWidth="1"/>
    <col min="13326" max="13567" width="8.796875" style="1343"/>
    <col min="13568" max="13568" width="6" style="1343" customWidth="1"/>
    <col min="13569" max="13573" width="6.3984375" style="1343" customWidth="1"/>
    <col min="13574" max="13574" width="6.69921875" style="1343" customWidth="1"/>
    <col min="13575" max="13577" width="6.3984375" style="1343" customWidth="1"/>
    <col min="13578" max="13578" width="6.69921875" style="1343" customWidth="1"/>
    <col min="13579" max="13581" width="6.3984375" style="1343" customWidth="1"/>
    <col min="13582" max="13823" width="8.796875" style="1343"/>
    <col min="13824" max="13824" width="6" style="1343" customWidth="1"/>
    <col min="13825" max="13829" width="6.3984375" style="1343" customWidth="1"/>
    <col min="13830" max="13830" width="6.69921875" style="1343" customWidth="1"/>
    <col min="13831" max="13833" width="6.3984375" style="1343" customWidth="1"/>
    <col min="13834" max="13834" width="6.69921875" style="1343" customWidth="1"/>
    <col min="13835" max="13837" width="6.3984375" style="1343" customWidth="1"/>
    <col min="13838" max="14079" width="8.796875" style="1343"/>
    <col min="14080" max="14080" width="6" style="1343" customWidth="1"/>
    <col min="14081" max="14085" width="6.3984375" style="1343" customWidth="1"/>
    <col min="14086" max="14086" width="6.69921875" style="1343" customWidth="1"/>
    <col min="14087" max="14089" width="6.3984375" style="1343" customWidth="1"/>
    <col min="14090" max="14090" width="6.69921875" style="1343" customWidth="1"/>
    <col min="14091" max="14093" width="6.3984375" style="1343" customWidth="1"/>
    <col min="14094" max="14335" width="8.796875" style="1343"/>
    <col min="14336" max="14336" width="6" style="1343" customWidth="1"/>
    <col min="14337" max="14341" width="6.3984375" style="1343" customWidth="1"/>
    <col min="14342" max="14342" width="6.69921875" style="1343" customWidth="1"/>
    <col min="14343" max="14345" width="6.3984375" style="1343" customWidth="1"/>
    <col min="14346" max="14346" width="6.69921875" style="1343" customWidth="1"/>
    <col min="14347" max="14349" width="6.3984375" style="1343" customWidth="1"/>
    <col min="14350" max="14591" width="8.796875" style="1343"/>
    <col min="14592" max="14592" width="6" style="1343" customWidth="1"/>
    <col min="14593" max="14597" width="6.3984375" style="1343" customWidth="1"/>
    <col min="14598" max="14598" width="6.69921875" style="1343" customWidth="1"/>
    <col min="14599" max="14601" width="6.3984375" style="1343" customWidth="1"/>
    <col min="14602" max="14602" width="6.69921875" style="1343" customWidth="1"/>
    <col min="14603" max="14605" width="6.3984375" style="1343" customWidth="1"/>
    <col min="14606" max="14847" width="8.796875" style="1343"/>
    <col min="14848" max="14848" width="6" style="1343" customWidth="1"/>
    <col min="14849" max="14853" width="6.3984375" style="1343" customWidth="1"/>
    <col min="14854" max="14854" width="6.69921875" style="1343" customWidth="1"/>
    <col min="14855" max="14857" width="6.3984375" style="1343" customWidth="1"/>
    <col min="14858" max="14858" width="6.69921875" style="1343" customWidth="1"/>
    <col min="14859" max="14861" width="6.3984375" style="1343" customWidth="1"/>
    <col min="14862" max="15103" width="8.796875" style="1343"/>
    <col min="15104" max="15104" width="6" style="1343" customWidth="1"/>
    <col min="15105" max="15109" width="6.3984375" style="1343" customWidth="1"/>
    <col min="15110" max="15110" width="6.69921875" style="1343" customWidth="1"/>
    <col min="15111" max="15113" width="6.3984375" style="1343" customWidth="1"/>
    <col min="15114" max="15114" width="6.69921875" style="1343" customWidth="1"/>
    <col min="15115" max="15117" width="6.3984375" style="1343" customWidth="1"/>
    <col min="15118" max="15359" width="8.796875" style="1343"/>
    <col min="15360" max="15360" width="6" style="1343" customWidth="1"/>
    <col min="15361" max="15365" width="6.3984375" style="1343" customWidth="1"/>
    <col min="15366" max="15366" width="6.69921875" style="1343" customWidth="1"/>
    <col min="15367" max="15369" width="6.3984375" style="1343" customWidth="1"/>
    <col min="15370" max="15370" width="6.69921875" style="1343" customWidth="1"/>
    <col min="15371" max="15373" width="6.3984375" style="1343" customWidth="1"/>
    <col min="15374" max="15615" width="8.796875" style="1343"/>
    <col min="15616" max="15616" width="6" style="1343" customWidth="1"/>
    <col min="15617" max="15621" width="6.3984375" style="1343" customWidth="1"/>
    <col min="15622" max="15622" width="6.69921875" style="1343" customWidth="1"/>
    <col min="15623" max="15625" width="6.3984375" style="1343" customWidth="1"/>
    <col min="15626" max="15626" width="6.69921875" style="1343" customWidth="1"/>
    <col min="15627" max="15629" width="6.3984375" style="1343" customWidth="1"/>
    <col min="15630" max="15871" width="8.796875" style="1343"/>
    <col min="15872" max="15872" width="6" style="1343" customWidth="1"/>
    <col min="15873" max="15877" width="6.3984375" style="1343" customWidth="1"/>
    <col min="15878" max="15878" width="6.69921875" style="1343" customWidth="1"/>
    <col min="15879" max="15881" width="6.3984375" style="1343" customWidth="1"/>
    <col min="15882" max="15882" width="6.69921875" style="1343" customWidth="1"/>
    <col min="15883" max="15885" width="6.3984375" style="1343" customWidth="1"/>
    <col min="15886" max="16127" width="8.796875" style="1343"/>
    <col min="16128" max="16128" width="6" style="1343" customWidth="1"/>
    <col min="16129" max="16133" width="6.3984375" style="1343" customWidth="1"/>
    <col min="16134" max="16134" width="6.69921875" style="1343" customWidth="1"/>
    <col min="16135" max="16137" width="6.3984375" style="1343" customWidth="1"/>
    <col min="16138" max="16138" width="6.69921875" style="1343" customWidth="1"/>
    <col min="16139" max="16141" width="6.3984375" style="1343" customWidth="1"/>
    <col min="16142" max="16384" width="8.796875" style="1343"/>
  </cols>
  <sheetData>
    <row r="1" spans="1:30" ht="30" customHeight="1" thickBot="1">
      <c r="A1" s="2141" t="s">
        <v>2690</v>
      </c>
      <c r="B1" s="2141"/>
      <c r="C1" s="2141"/>
      <c r="D1" s="2141"/>
      <c r="G1" s="1344"/>
      <c r="K1" s="1344" t="s">
        <v>2691</v>
      </c>
      <c r="M1" s="1344" t="s">
        <v>2692</v>
      </c>
    </row>
    <row r="2" spans="1:30" s="1201" customFormat="1" ht="13.5" customHeight="1">
      <c r="A2" s="2469" t="s">
        <v>1015</v>
      </c>
      <c r="B2" s="2470" t="s">
        <v>2693</v>
      </c>
      <c r="C2" s="1345" t="s">
        <v>2694</v>
      </c>
      <c r="D2" s="1346"/>
      <c r="E2" s="1346"/>
      <c r="F2" s="1346"/>
      <c r="G2" s="1346"/>
      <c r="H2" s="1346"/>
      <c r="I2" s="1346"/>
      <c r="J2" s="1346"/>
      <c r="K2" s="1346"/>
      <c r="L2" s="1346"/>
      <c r="M2" s="1346"/>
      <c r="N2" s="1347"/>
      <c r="O2" s="1347"/>
      <c r="P2" s="1347"/>
      <c r="Q2" s="1347"/>
      <c r="R2" s="1347"/>
      <c r="S2" s="1347"/>
      <c r="T2" s="1347"/>
      <c r="U2" s="1347"/>
      <c r="V2" s="1347"/>
      <c r="W2" s="1347"/>
      <c r="X2" s="1347"/>
      <c r="Y2" s="1347"/>
      <c r="Z2" s="1347"/>
      <c r="AA2" s="1347"/>
      <c r="AB2" s="1347"/>
      <c r="AC2" s="1347"/>
      <c r="AD2" s="1347"/>
    </row>
    <row r="3" spans="1:30" s="1201" customFormat="1" ht="13.5" customHeight="1">
      <c r="A3" s="2464"/>
      <c r="B3" s="2456"/>
      <c r="C3" s="2456" t="s">
        <v>2695</v>
      </c>
      <c r="D3" s="1348" t="s">
        <v>2696</v>
      </c>
      <c r="E3" s="1349"/>
      <c r="F3" s="1349"/>
      <c r="G3" s="1349"/>
      <c r="H3" s="1348" t="s">
        <v>2697</v>
      </c>
      <c r="I3" s="1349"/>
      <c r="J3" s="1349"/>
      <c r="K3" s="1349"/>
      <c r="L3" s="1348" t="s">
        <v>2698</v>
      </c>
      <c r="M3" s="1350"/>
      <c r="N3" s="1347"/>
      <c r="O3" s="1347"/>
      <c r="P3" s="1347"/>
      <c r="Q3" s="1347"/>
      <c r="R3" s="1347"/>
      <c r="S3" s="1347"/>
      <c r="T3" s="1347"/>
      <c r="U3" s="1347"/>
      <c r="V3" s="1347"/>
      <c r="W3" s="1347"/>
      <c r="X3" s="1347"/>
      <c r="Y3" s="1347"/>
      <c r="Z3" s="1347"/>
      <c r="AA3" s="1347"/>
      <c r="AB3" s="1347"/>
      <c r="AC3" s="1347"/>
      <c r="AD3" s="1347"/>
    </row>
    <row r="4" spans="1:30" s="1201" customFormat="1" ht="13.5" customHeight="1">
      <c r="A4" s="2464"/>
      <c r="B4" s="2456"/>
      <c r="C4" s="2456"/>
      <c r="D4" s="2458" t="s">
        <v>2699</v>
      </c>
      <c r="E4" s="2461" t="s">
        <v>2700</v>
      </c>
      <c r="F4" s="2466" t="s">
        <v>2701</v>
      </c>
      <c r="G4" s="2467" t="s">
        <v>2702</v>
      </c>
      <c r="H4" s="2458" t="s">
        <v>2699</v>
      </c>
      <c r="I4" s="2461" t="s">
        <v>2703</v>
      </c>
      <c r="J4" s="2466" t="s">
        <v>2704</v>
      </c>
      <c r="K4" s="2467" t="s">
        <v>2702</v>
      </c>
      <c r="L4" s="2458" t="s">
        <v>2699</v>
      </c>
      <c r="M4" s="2461" t="s">
        <v>2705</v>
      </c>
      <c r="N4" s="1347"/>
      <c r="O4" s="1347"/>
      <c r="P4" s="1347"/>
      <c r="Q4" s="1347"/>
      <c r="R4" s="1347"/>
      <c r="S4" s="1347"/>
      <c r="T4" s="1347"/>
      <c r="U4" s="1347"/>
      <c r="V4" s="1347"/>
      <c r="W4" s="1347"/>
      <c r="X4" s="1347"/>
      <c r="Y4" s="1347"/>
      <c r="Z4" s="1347"/>
      <c r="AA4" s="1347"/>
      <c r="AB4" s="1347"/>
      <c r="AC4" s="1347"/>
      <c r="AD4" s="1347"/>
    </row>
    <row r="5" spans="1:30" s="1201" customFormat="1" ht="15" customHeight="1">
      <c r="A5" s="2463"/>
      <c r="B5" s="2457"/>
      <c r="C5" s="2457"/>
      <c r="D5" s="2459"/>
      <c r="E5" s="2459"/>
      <c r="F5" s="2457"/>
      <c r="G5" s="2468"/>
      <c r="H5" s="2459"/>
      <c r="I5" s="2459"/>
      <c r="J5" s="2457"/>
      <c r="K5" s="2468"/>
      <c r="L5" s="2459"/>
      <c r="M5" s="2459"/>
      <c r="N5" s="1347"/>
      <c r="O5" s="1347"/>
      <c r="P5" s="1347"/>
      <c r="Q5" s="1347"/>
      <c r="R5" s="1347"/>
      <c r="S5" s="1347"/>
      <c r="T5" s="1347"/>
      <c r="U5" s="1347"/>
      <c r="V5" s="1347"/>
      <c r="W5" s="1347"/>
      <c r="X5" s="1347"/>
      <c r="Y5" s="1347"/>
      <c r="Z5" s="1347"/>
      <c r="AA5" s="1347"/>
      <c r="AB5" s="1347"/>
      <c r="AC5" s="1347"/>
      <c r="AD5" s="1347"/>
    </row>
    <row r="6" spans="1:30" s="1201" customFormat="1" ht="12.9" customHeight="1">
      <c r="A6" s="2425" t="s">
        <v>311</v>
      </c>
      <c r="B6" s="1351" t="s">
        <v>843</v>
      </c>
      <c r="C6" s="1352">
        <v>2169</v>
      </c>
      <c r="D6" s="1352">
        <v>1903</v>
      </c>
      <c r="E6" s="1352">
        <v>1468</v>
      </c>
      <c r="F6" s="1352">
        <v>342</v>
      </c>
      <c r="G6" s="1353">
        <v>94</v>
      </c>
      <c r="H6" s="1352">
        <v>208</v>
      </c>
      <c r="I6" s="1352">
        <v>156</v>
      </c>
      <c r="J6" s="1352">
        <v>33</v>
      </c>
      <c r="K6" s="1353">
        <v>18</v>
      </c>
      <c r="L6" s="1352">
        <v>56</v>
      </c>
      <c r="M6" s="1353">
        <v>58</v>
      </c>
      <c r="N6" s="1347"/>
      <c r="O6" s="1347"/>
      <c r="P6" s="1347"/>
      <c r="Q6" s="1347"/>
      <c r="R6" s="1347"/>
      <c r="S6" s="1347"/>
      <c r="T6" s="1347"/>
      <c r="U6" s="1347"/>
      <c r="V6" s="1347"/>
      <c r="W6" s="1347"/>
      <c r="X6" s="1347"/>
      <c r="Y6" s="1347"/>
      <c r="Z6" s="1347"/>
      <c r="AA6" s="1347"/>
      <c r="AB6" s="1347"/>
      <c r="AC6" s="1347"/>
      <c r="AD6" s="1347"/>
    </row>
    <row r="7" spans="1:30" s="1201" customFormat="1" ht="12.9" customHeight="1">
      <c r="A7" s="2425"/>
      <c r="B7" s="1354" t="s">
        <v>2706</v>
      </c>
      <c r="C7" s="1355">
        <v>285</v>
      </c>
      <c r="D7" s="1355">
        <v>247</v>
      </c>
      <c r="E7" s="1355">
        <v>206</v>
      </c>
      <c r="F7" s="1355">
        <v>35</v>
      </c>
      <c r="G7" s="1356">
        <v>6</v>
      </c>
      <c r="H7" s="1355">
        <v>13</v>
      </c>
      <c r="I7" s="1355">
        <v>12</v>
      </c>
      <c r="J7" s="1357" t="s">
        <v>345</v>
      </c>
      <c r="K7" s="1356">
        <v>1</v>
      </c>
      <c r="L7" s="1355">
        <v>22</v>
      </c>
      <c r="M7" s="1356">
        <v>24</v>
      </c>
      <c r="N7" s="1347"/>
      <c r="O7" s="1347"/>
      <c r="P7" s="1347"/>
      <c r="Q7" s="1347"/>
      <c r="R7" s="1347"/>
      <c r="S7" s="1347"/>
      <c r="T7" s="1347"/>
      <c r="U7" s="1347"/>
      <c r="V7" s="1347"/>
      <c r="W7" s="1347"/>
      <c r="X7" s="1347"/>
      <c r="Y7" s="1347"/>
      <c r="Z7" s="1347"/>
      <c r="AA7" s="1347"/>
      <c r="AB7" s="1347"/>
      <c r="AC7" s="1347"/>
      <c r="AD7" s="1347"/>
    </row>
    <row r="8" spans="1:30" s="1201" customFormat="1" ht="12.9" customHeight="1">
      <c r="A8" s="2425"/>
      <c r="B8" s="1354" t="s">
        <v>202</v>
      </c>
      <c r="C8" s="1355">
        <v>568</v>
      </c>
      <c r="D8" s="1355">
        <v>501</v>
      </c>
      <c r="E8" s="1355">
        <v>373</v>
      </c>
      <c r="F8" s="1355">
        <v>96</v>
      </c>
      <c r="G8" s="1356">
        <v>32</v>
      </c>
      <c r="H8" s="1355">
        <v>64</v>
      </c>
      <c r="I8" s="1355">
        <v>26</v>
      </c>
      <c r="J8" s="1357">
        <v>33</v>
      </c>
      <c r="K8" s="1356">
        <v>5</v>
      </c>
      <c r="L8" s="1355">
        <v>4</v>
      </c>
      <c r="M8" s="1356">
        <v>4</v>
      </c>
      <c r="N8" s="1347"/>
      <c r="O8" s="1347"/>
      <c r="P8" s="1347"/>
      <c r="Q8" s="1347"/>
      <c r="R8" s="1347"/>
      <c r="S8" s="1347"/>
      <c r="T8" s="1347"/>
      <c r="U8" s="1347"/>
      <c r="V8" s="1347"/>
      <c r="W8" s="1347"/>
      <c r="X8" s="1347"/>
      <c r="Y8" s="1347"/>
      <c r="Z8" s="1347"/>
      <c r="AA8" s="1347"/>
      <c r="AB8" s="1347"/>
      <c r="AC8" s="1347"/>
      <c r="AD8" s="1347"/>
    </row>
    <row r="9" spans="1:30" s="1201" customFormat="1" ht="12.9" customHeight="1">
      <c r="A9" s="2425"/>
      <c r="B9" s="1354" t="s">
        <v>2707</v>
      </c>
      <c r="C9" s="1355">
        <v>922</v>
      </c>
      <c r="D9" s="1355">
        <v>854</v>
      </c>
      <c r="E9" s="1355">
        <v>653</v>
      </c>
      <c r="F9" s="1355">
        <v>163</v>
      </c>
      <c r="G9" s="1356">
        <v>39</v>
      </c>
      <c r="H9" s="1355">
        <v>42</v>
      </c>
      <c r="I9" s="1355">
        <v>37</v>
      </c>
      <c r="J9" s="1357" t="s">
        <v>345</v>
      </c>
      <c r="K9" s="1356">
        <v>5</v>
      </c>
      <c r="L9" s="1355">
        <v>26</v>
      </c>
      <c r="M9" s="1356">
        <v>26</v>
      </c>
      <c r="N9" s="1347"/>
      <c r="O9" s="1347"/>
      <c r="P9" s="1347"/>
      <c r="Q9" s="1347"/>
      <c r="R9" s="1347"/>
      <c r="S9" s="1347"/>
      <c r="T9" s="1347"/>
      <c r="U9" s="1347"/>
      <c r="V9" s="1347"/>
      <c r="W9" s="1347"/>
      <c r="X9" s="1347"/>
      <c r="Y9" s="1347"/>
      <c r="Z9" s="1347"/>
      <c r="AA9" s="1347"/>
      <c r="AB9" s="1347"/>
      <c r="AC9" s="1347"/>
      <c r="AD9" s="1347"/>
    </row>
    <row r="10" spans="1:30" s="1201" customFormat="1" ht="12.9" customHeight="1">
      <c r="A10" s="2462"/>
      <c r="B10" s="1354" t="s">
        <v>204</v>
      </c>
      <c r="C10" s="1355">
        <v>239</v>
      </c>
      <c r="D10" s="1355">
        <v>217</v>
      </c>
      <c r="E10" s="1355">
        <v>165</v>
      </c>
      <c r="F10" s="1355">
        <v>38</v>
      </c>
      <c r="G10" s="1356">
        <v>14</v>
      </c>
      <c r="H10" s="1355">
        <v>20</v>
      </c>
      <c r="I10" s="1355">
        <v>17</v>
      </c>
      <c r="J10" s="1357" t="s">
        <v>345</v>
      </c>
      <c r="K10" s="1356">
        <v>3</v>
      </c>
      <c r="L10" s="1355">
        <v>2</v>
      </c>
      <c r="M10" s="1356">
        <v>2</v>
      </c>
      <c r="N10" s="1347"/>
      <c r="O10" s="1347"/>
      <c r="P10" s="1347"/>
      <c r="Q10" s="1347"/>
      <c r="R10" s="1347"/>
      <c r="S10" s="1347"/>
      <c r="T10" s="1347"/>
      <c r="U10" s="1347"/>
      <c r="V10" s="1347"/>
      <c r="W10" s="1347"/>
      <c r="X10" s="1347"/>
      <c r="Y10" s="1347"/>
      <c r="Z10" s="1347"/>
      <c r="AA10" s="1347"/>
      <c r="AB10" s="1347"/>
      <c r="AC10" s="1347"/>
      <c r="AD10" s="1347"/>
    </row>
    <row r="11" spans="1:30" s="1201" customFormat="1" ht="12.9" customHeight="1">
      <c r="A11" s="2462"/>
      <c r="B11" s="1354" t="s">
        <v>2708</v>
      </c>
      <c r="C11" s="1355">
        <v>80</v>
      </c>
      <c r="D11" s="1355">
        <v>29</v>
      </c>
      <c r="E11" s="1355">
        <v>26</v>
      </c>
      <c r="F11" s="1355">
        <v>3</v>
      </c>
      <c r="G11" s="1356">
        <v>1</v>
      </c>
      <c r="H11" s="1355">
        <v>49</v>
      </c>
      <c r="I11" s="1355">
        <v>46</v>
      </c>
      <c r="J11" s="1357">
        <v>0</v>
      </c>
      <c r="K11" s="1356">
        <v>2</v>
      </c>
      <c r="L11" s="1355">
        <v>2</v>
      </c>
      <c r="M11" s="1356">
        <v>2</v>
      </c>
      <c r="N11" s="1347"/>
      <c r="O11" s="1347"/>
      <c r="P11" s="1347"/>
      <c r="Q11" s="1347"/>
      <c r="R11" s="1347"/>
      <c r="S11" s="1347"/>
      <c r="T11" s="1347"/>
      <c r="U11" s="1347"/>
      <c r="V11" s="1347"/>
      <c r="W11" s="1347"/>
      <c r="X11" s="1347"/>
      <c r="Y11" s="1347"/>
      <c r="Z11" s="1347"/>
      <c r="AA11" s="1347"/>
      <c r="AB11" s="1347"/>
      <c r="AC11" s="1347"/>
      <c r="AD11" s="1347"/>
    </row>
    <row r="12" spans="1:30" s="1201" customFormat="1" ht="12.9" customHeight="1">
      <c r="A12" s="2425"/>
      <c r="B12" s="1358" t="s">
        <v>2709</v>
      </c>
      <c r="C12" s="1359">
        <v>75</v>
      </c>
      <c r="D12" s="1359">
        <v>55</v>
      </c>
      <c r="E12" s="1359">
        <v>45</v>
      </c>
      <c r="F12" s="1359">
        <v>7</v>
      </c>
      <c r="G12" s="1360">
        <v>2</v>
      </c>
      <c r="H12" s="1359">
        <v>20</v>
      </c>
      <c r="I12" s="1359">
        <v>18</v>
      </c>
      <c r="J12" s="1361" t="s">
        <v>345</v>
      </c>
      <c r="K12" s="1360">
        <v>2</v>
      </c>
      <c r="L12" s="1361">
        <v>0</v>
      </c>
      <c r="M12" s="1362">
        <v>0</v>
      </c>
      <c r="N12" s="1347"/>
      <c r="O12" s="1347"/>
      <c r="P12" s="1347"/>
      <c r="Q12" s="1347"/>
      <c r="R12" s="1347"/>
      <c r="S12" s="1347"/>
      <c r="T12" s="1347"/>
      <c r="U12" s="1347"/>
      <c r="V12" s="1347"/>
      <c r="W12" s="1347"/>
      <c r="X12" s="1347"/>
      <c r="Y12" s="1347"/>
      <c r="Z12" s="1347"/>
      <c r="AA12" s="1347"/>
      <c r="AB12" s="1347"/>
      <c r="AC12" s="1347"/>
      <c r="AD12" s="1347"/>
    </row>
    <row r="13" spans="1:30" s="1201" customFormat="1" ht="12.9" customHeight="1">
      <c r="A13" s="2463" t="s">
        <v>316</v>
      </c>
      <c r="B13" s="1354" t="s">
        <v>843</v>
      </c>
      <c r="C13" s="1352">
        <v>2297</v>
      </c>
      <c r="D13" s="1352">
        <v>2010</v>
      </c>
      <c r="E13" s="1352">
        <v>1493</v>
      </c>
      <c r="F13" s="1352">
        <v>456</v>
      </c>
      <c r="G13" s="1352">
        <v>61</v>
      </c>
      <c r="H13" s="1352">
        <v>222</v>
      </c>
      <c r="I13" s="1352">
        <v>156</v>
      </c>
      <c r="J13" s="1363">
        <v>36</v>
      </c>
      <c r="K13" s="1352">
        <v>30</v>
      </c>
      <c r="L13" s="1352">
        <v>66</v>
      </c>
      <c r="M13" s="1353">
        <v>66</v>
      </c>
      <c r="N13" s="1347"/>
      <c r="O13" s="1347"/>
      <c r="P13" s="1347"/>
      <c r="Q13" s="1347"/>
      <c r="R13" s="1347"/>
      <c r="S13" s="1347"/>
      <c r="T13" s="1347"/>
      <c r="U13" s="1347"/>
      <c r="V13" s="1347"/>
      <c r="W13" s="1347"/>
      <c r="X13" s="1347"/>
      <c r="Y13" s="1347"/>
      <c r="Z13" s="1347"/>
      <c r="AA13" s="1347"/>
      <c r="AB13" s="1347"/>
      <c r="AC13" s="1347"/>
      <c r="AD13" s="1347"/>
    </row>
    <row r="14" spans="1:30" s="1201" customFormat="1" ht="12.9" customHeight="1">
      <c r="A14" s="2425"/>
      <c r="B14" s="1354" t="s">
        <v>2706</v>
      </c>
      <c r="C14" s="1355">
        <v>299</v>
      </c>
      <c r="D14" s="1355">
        <v>257</v>
      </c>
      <c r="E14" s="1355">
        <v>192</v>
      </c>
      <c r="F14" s="1355">
        <v>59</v>
      </c>
      <c r="G14" s="1356">
        <v>6</v>
      </c>
      <c r="H14" s="1355">
        <v>18</v>
      </c>
      <c r="I14" s="1355">
        <v>11</v>
      </c>
      <c r="J14" s="1357" t="s">
        <v>345</v>
      </c>
      <c r="K14" s="1356">
        <v>7</v>
      </c>
      <c r="L14" s="1355">
        <v>24</v>
      </c>
      <c r="M14" s="1364">
        <v>24</v>
      </c>
      <c r="N14" s="1347"/>
      <c r="O14" s="1347"/>
      <c r="P14" s="1347"/>
      <c r="Q14" s="1347"/>
      <c r="R14" s="1347"/>
      <c r="S14" s="1347"/>
      <c r="T14" s="1347"/>
      <c r="U14" s="1347"/>
      <c r="V14" s="1347"/>
      <c r="W14" s="1347"/>
      <c r="X14" s="1347"/>
      <c r="Y14" s="1347"/>
      <c r="Z14" s="1347"/>
      <c r="AA14" s="1347"/>
      <c r="AB14" s="1347"/>
      <c r="AC14" s="1347"/>
      <c r="AD14" s="1347"/>
    </row>
    <row r="15" spans="1:30" s="1201" customFormat="1" ht="12.9" customHeight="1">
      <c r="A15" s="2425"/>
      <c r="B15" s="1354" t="s">
        <v>202</v>
      </c>
      <c r="C15" s="1355">
        <v>595</v>
      </c>
      <c r="D15" s="1355">
        <v>529</v>
      </c>
      <c r="E15" s="1355">
        <v>389</v>
      </c>
      <c r="F15" s="1355">
        <v>120</v>
      </c>
      <c r="G15" s="1356">
        <v>20</v>
      </c>
      <c r="H15" s="1355">
        <v>58</v>
      </c>
      <c r="I15" s="1355">
        <v>20</v>
      </c>
      <c r="J15" s="1357">
        <v>33</v>
      </c>
      <c r="K15" s="1356">
        <v>5</v>
      </c>
      <c r="L15" s="1355">
        <v>7</v>
      </c>
      <c r="M15" s="1364">
        <v>7</v>
      </c>
      <c r="N15" s="1347"/>
      <c r="O15" s="1347"/>
      <c r="P15" s="1347"/>
      <c r="Q15" s="1347"/>
      <c r="R15" s="1347"/>
      <c r="S15" s="1347"/>
      <c r="T15" s="1347"/>
      <c r="U15" s="1347"/>
      <c r="V15" s="1347"/>
      <c r="W15" s="1347"/>
      <c r="X15" s="1347"/>
      <c r="Y15" s="1347"/>
      <c r="Z15" s="1347"/>
      <c r="AA15" s="1347"/>
      <c r="AB15" s="1347"/>
      <c r="AC15" s="1347"/>
      <c r="AD15" s="1347"/>
    </row>
    <row r="16" spans="1:30" s="1201" customFormat="1" ht="12.9" customHeight="1">
      <c r="A16" s="2425"/>
      <c r="B16" s="1354" t="s">
        <v>2707</v>
      </c>
      <c r="C16" s="1355">
        <v>1012</v>
      </c>
      <c r="D16" s="1355">
        <v>920</v>
      </c>
      <c r="E16" s="1355">
        <v>666</v>
      </c>
      <c r="F16" s="1355">
        <v>234</v>
      </c>
      <c r="G16" s="1356">
        <v>20</v>
      </c>
      <c r="H16" s="1355">
        <v>62</v>
      </c>
      <c r="I16" s="1355">
        <v>50</v>
      </c>
      <c r="J16" s="1357">
        <v>3</v>
      </c>
      <c r="K16" s="1356">
        <v>9</v>
      </c>
      <c r="L16" s="1355">
        <v>31</v>
      </c>
      <c r="M16" s="1364">
        <v>31</v>
      </c>
      <c r="N16" s="1347"/>
      <c r="O16" s="1347"/>
      <c r="P16" s="1347"/>
      <c r="Q16" s="1347"/>
      <c r="R16" s="1347"/>
      <c r="S16" s="1347"/>
      <c r="T16" s="1347"/>
      <c r="U16" s="1347"/>
      <c r="V16" s="1347"/>
      <c r="W16" s="1347"/>
      <c r="X16" s="1347"/>
      <c r="Y16" s="1347"/>
      <c r="Z16" s="1347"/>
      <c r="AA16" s="1347"/>
      <c r="AB16" s="1347"/>
      <c r="AC16" s="1347"/>
      <c r="AD16" s="1347"/>
    </row>
    <row r="17" spans="1:30" s="1201" customFormat="1" ht="12.9" customHeight="1">
      <c r="A17" s="2462"/>
      <c r="B17" s="1354" t="s">
        <v>204</v>
      </c>
      <c r="C17" s="1355">
        <v>245</v>
      </c>
      <c r="D17" s="1355">
        <v>225</v>
      </c>
      <c r="E17" s="1355">
        <v>181</v>
      </c>
      <c r="F17" s="1355">
        <v>33</v>
      </c>
      <c r="G17" s="1356">
        <v>11</v>
      </c>
      <c r="H17" s="1355">
        <v>19</v>
      </c>
      <c r="I17" s="1355">
        <v>15</v>
      </c>
      <c r="J17" s="1357" t="s">
        <v>345</v>
      </c>
      <c r="K17" s="1356">
        <v>4</v>
      </c>
      <c r="L17" s="1355">
        <v>1</v>
      </c>
      <c r="M17" s="1364">
        <v>1</v>
      </c>
      <c r="N17" s="1347"/>
      <c r="O17" s="1347"/>
      <c r="P17" s="1347"/>
      <c r="Q17" s="1347"/>
      <c r="R17" s="1347"/>
      <c r="S17" s="1347"/>
      <c r="T17" s="1347"/>
      <c r="U17" s="1347"/>
      <c r="V17" s="1347"/>
      <c r="W17" s="1347"/>
      <c r="X17" s="1347"/>
      <c r="Y17" s="1347"/>
      <c r="Z17" s="1347"/>
      <c r="AA17" s="1347"/>
      <c r="AB17" s="1347"/>
      <c r="AC17" s="1347"/>
      <c r="AD17" s="1347"/>
    </row>
    <row r="18" spans="1:30" s="1201" customFormat="1" ht="12.9" customHeight="1">
      <c r="A18" s="2462"/>
      <c r="B18" s="1354" t="s">
        <v>2708</v>
      </c>
      <c r="C18" s="1355">
        <v>75</v>
      </c>
      <c r="D18" s="1355">
        <v>27</v>
      </c>
      <c r="E18" s="1355">
        <v>24</v>
      </c>
      <c r="F18" s="1355">
        <v>2</v>
      </c>
      <c r="G18" s="1356">
        <v>1</v>
      </c>
      <c r="H18" s="1355">
        <v>46</v>
      </c>
      <c r="I18" s="1355">
        <v>44</v>
      </c>
      <c r="J18" s="1357" t="s">
        <v>345</v>
      </c>
      <c r="K18" s="1356">
        <v>2</v>
      </c>
      <c r="L18" s="1355">
        <v>3</v>
      </c>
      <c r="M18" s="1364">
        <v>3</v>
      </c>
      <c r="N18" s="1347"/>
      <c r="O18" s="1347"/>
      <c r="P18" s="1347"/>
      <c r="Q18" s="1347"/>
      <c r="R18" s="1347"/>
      <c r="S18" s="1347"/>
      <c r="T18" s="1347"/>
      <c r="U18" s="1347"/>
      <c r="V18" s="1347"/>
      <c r="W18" s="1347"/>
      <c r="X18" s="1347"/>
      <c r="Y18" s="1347"/>
      <c r="Z18" s="1347"/>
      <c r="AA18" s="1347"/>
      <c r="AB18" s="1347"/>
      <c r="AC18" s="1347"/>
      <c r="AD18" s="1347"/>
    </row>
    <row r="19" spans="1:30" s="1201" customFormat="1" ht="12.9" customHeight="1">
      <c r="A19" s="2462"/>
      <c r="B19" s="1354" t="s">
        <v>2709</v>
      </c>
      <c r="C19" s="1355">
        <v>71</v>
      </c>
      <c r="D19" s="1355">
        <v>52</v>
      </c>
      <c r="E19" s="1355">
        <v>41</v>
      </c>
      <c r="F19" s="1355">
        <v>8</v>
      </c>
      <c r="G19" s="1356">
        <v>3</v>
      </c>
      <c r="H19" s="1355">
        <v>19</v>
      </c>
      <c r="I19" s="1355">
        <v>16</v>
      </c>
      <c r="J19" s="1357" t="s">
        <v>345</v>
      </c>
      <c r="K19" s="1356">
        <v>3</v>
      </c>
      <c r="L19" s="1355">
        <v>0</v>
      </c>
      <c r="M19" s="1364">
        <v>0</v>
      </c>
      <c r="N19" s="1347"/>
      <c r="O19" s="1365"/>
      <c r="P19" s="1347"/>
      <c r="Q19" s="1347"/>
      <c r="R19" s="1347"/>
      <c r="S19" s="1347"/>
      <c r="T19" s="1347"/>
      <c r="U19" s="1347"/>
      <c r="V19" s="1347"/>
      <c r="W19" s="1347"/>
      <c r="X19" s="1347"/>
      <c r="Y19" s="1347"/>
      <c r="Z19" s="1347"/>
      <c r="AA19" s="1347"/>
      <c r="AB19" s="1347"/>
      <c r="AC19" s="1347"/>
      <c r="AD19" s="1347"/>
    </row>
    <row r="20" spans="1:30" s="1201" customFormat="1" ht="12.9" customHeight="1">
      <c r="A20" s="2462" t="s">
        <v>319</v>
      </c>
      <c r="B20" s="1351" t="s">
        <v>843</v>
      </c>
      <c r="C20" s="1352">
        <v>2251</v>
      </c>
      <c r="D20" s="1352">
        <v>1967</v>
      </c>
      <c r="E20" s="1352">
        <v>1526</v>
      </c>
      <c r="F20" s="1352">
        <v>379</v>
      </c>
      <c r="G20" s="1353">
        <v>62</v>
      </c>
      <c r="H20" s="1352">
        <v>223</v>
      </c>
      <c r="I20" s="1352">
        <v>187</v>
      </c>
      <c r="J20" s="1363">
        <v>5</v>
      </c>
      <c r="K20" s="1352">
        <v>31</v>
      </c>
      <c r="L20" s="1352">
        <v>61</v>
      </c>
      <c r="M20" s="1353">
        <v>61</v>
      </c>
      <c r="N20" s="1347"/>
      <c r="O20" s="1365"/>
      <c r="P20" s="1347"/>
      <c r="Q20" s="1347"/>
      <c r="R20" s="1347"/>
      <c r="S20" s="1347"/>
      <c r="T20" s="1347"/>
      <c r="U20" s="1347"/>
      <c r="V20" s="1347"/>
      <c r="W20" s="1347"/>
      <c r="X20" s="1347"/>
      <c r="Y20" s="1347"/>
      <c r="Z20" s="1347"/>
      <c r="AA20" s="1347"/>
      <c r="AB20" s="1347"/>
      <c r="AC20" s="1347"/>
      <c r="AD20" s="1347"/>
    </row>
    <row r="21" spans="1:30" s="1201" customFormat="1" ht="12.9" customHeight="1">
      <c r="A21" s="2464"/>
      <c r="B21" s="1354" t="s">
        <v>2706</v>
      </c>
      <c r="C21" s="1366">
        <v>303</v>
      </c>
      <c r="D21" s="1367">
        <v>260</v>
      </c>
      <c r="E21" s="1366">
        <v>201</v>
      </c>
      <c r="F21" s="1368">
        <v>51</v>
      </c>
      <c r="G21" s="1369">
        <v>8</v>
      </c>
      <c r="H21" s="1368">
        <v>16</v>
      </c>
      <c r="I21" s="1366">
        <v>14</v>
      </c>
      <c r="J21" s="1370">
        <v>0</v>
      </c>
      <c r="K21" s="1369">
        <v>2</v>
      </c>
      <c r="L21" s="1368">
        <v>26</v>
      </c>
      <c r="M21" s="1371">
        <v>26</v>
      </c>
      <c r="N21" s="1347"/>
      <c r="O21" s="1365"/>
      <c r="P21" s="1347"/>
      <c r="Q21" s="1347"/>
      <c r="R21" s="1347"/>
      <c r="S21" s="1347"/>
      <c r="T21" s="1347"/>
      <c r="U21" s="1347"/>
      <c r="V21" s="1347"/>
      <c r="W21" s="1347"/>
      <c r="X21" s="1347"/>
      <c r="Y21" s="1347"/>
      <c r="Z21" s="1347"/>
      <c r="AA21" s="1347"/>
      <c r="AB21" s="1347"/>
      <c r="AC21" s="1347"/>
      <c r="AD21" s="1347"/>
    </row>
    <row r="22" spans="1:30" s="1201" customFormat="1" ht="12.9" customHeight="1">
      <c r="A22" s="2464"/>
      <c r="B22" s="1354" t="s">
        <v>202</v>
      </c>
      <c r="C22" s="1366">
        <v>536</v>
      </c>
      <c r="D22" s="1367">
        <v>508</v>
      </c>
      <c r="E22" s="1366">
        <v>360</v>
      </c>
      <c r="F22" s="1368">
        <v>128</v>
      </c>
      <c r="G22" s="1369">
        <v>20</v>
      </c>
      <c r="H22" s="1368">
        <v>23</v>
      </c>
      <c r="I22" s="1366">
        <v>19</v>
      </c>
      <c r="J22" s="1370" t="s">
        <v>345</v>
      </c>
      <c r="K22" s="1369">
        <v>4</v>
      </c>
      <c r="L22" s="1368">
        <v>5</v>
      </c>
      <c r="M22" s="1371">
        <v>5</v>
      </c>
      <c r="N22" s="1347"/>
      <c r="O22" s="1365"/>
      <c r="P22" s="1347"/>
      <c r="Q22" s="1347"/>
      <c r="R22" s="1347"/>
      <c r="S22" s="1347"/>
      <c r="T22" s="1347"/>
      <c r="U22" s="1347"/>
      <c r="V22" s="1347"/>
      <c r="W22" s="1347"/>
      <c r="X22" s="1347"/>
      <c r="Y22" s="1347"/>
      <c r="Z22" s="1347"/>
      <c r="AA22" s="1347"/>
      <c r="AB22" s="1347"/>
      <c r="AC22" s="1347"/>
      <c r="AD22" s="1347"/>
    </row>
    <row r="23" spans="1:30" s="1201" customFormat="1" ht="12.9" customHeight="1">
      <c r="A23" s="2464"/>
      <c r="B23" s="1354" t="s">
        <v>2707</v>
      </c>
      <c r="C23" s="1366">
        <v>1000</v>
      </c>
      <c r="D23" s="1367">
        <v>917</v>
      </c>
      <c r="E23" s="1366">
        <v>740</v>
      </c>
      <c r="F23" s="1368">
        <v>150</v>
      </c>
      <c r="G23" s="1369">
        <v>28</v>
      </c>
      <c r="H23" s="1368">
        <v>55</v>
      </c>
      <c r="I23" s="1366">
        <v>47</v>
      </c>
      <c r="J23" s="1370">
        <v>5</v>
      </c>
      <c r="K23" s="1369">
        <v>4</v>
      </c>
      <c r="L23" s="1368">
        <v>28</v>
      </c>
      <c r="M23" s="1371">
        <v>28</v>
      </c>
      <c r="N23" s="1347"/>
      <c r="O23" s="1365"/>
      <c r="P23" s="1347"/>
      <c r="Q23" s="1347"/>
      <c r="R23" s="1347"/>
      <c r="S23" s="1347"/>
      <c r="T23" s="1347"/>
      <c r="U23" s="1347"/>
      <c r="V23" s="1347"/>
      <c r="W23" s="1347"/>
      <c r="X23" s="1347"/>
      <c r="Y23" s="1347"/>
      <c r="Z23" s="1347"/>
      <c r="AA23" s="1347"/>
      <c r="AB23" s="1347"/>
      <c r="AC23" s="1347"/>
      <c r="AD23" s="1347"/>
    </row>
    <row r="24" spans="1:30" s="1201" customFormat="1" ht="12.9" customHeight="1">
      <c r="A24" s="2464"/>
      <c r="B24" s="1354" t="s">
        <v>204</v>
      </c>
      <c r="C24" s="1366">
        <v>224</v>
      </c>
      <c r="D24" s="1367">
        <v>205</v>
      </c>
      <c r="E24" s="1366">
        <v>158</v>
      </c>
      <c r="F24" s="1368">
        <v>43</v>
      </c>
      <c r="G24" s="1369">
        <v>4</v>
      </c>
      <c r="H24" s="1368">
        <v>19</v>
      </c>
      <c r="I24" s="1366">
        <v>16</v>
      </c>
      <c r="J24" s="1370" t="s">
        <v>345</v>
      </c>
      <c r="K24" s="1369">
        <v>2</v>
      </c>
      <c r="L24" s="1368">
        <v>1</v>
      </c>
      <c r="M24" s="1371">
        <v>1</v>
      </c>
      <c r="N24" s="1347"/>
      <c r="O24" s="1365"/>
      <c r="P24" s="1347"/>
      <c r="Q24" s="1347"/>
      <c r="R24" s="1347"/>
      <c r="S24" s="1347"/>
      <c r="T24" s="1347"/>
      <c r="U24" s="1347"/>
      <c r="V24" s="1347"/>
      <c r="W24" s="1347"/>
      <c r="X24" s="1347"/>
      <c r="Y24" s="1347"/>
      <c r="Z24" s="1347"/>
      <c r="AA24" s="1347"/>
      <c r="AB24" s="1347"/>
      <c r="AC24" s="1347"/>
      <c r="AD24" s="1347"/>
    </row>
    <row r="25" spans="1:30" s="1201" customFormat="1" ht="12.9" customHeight="1">
      <c r="A25" s="2464"/>
      <c r="B25" s="1354" t="s">
        <v>2708</v>
      </c>
      <c r="C25" s="1366">
        <v>123</v>
      </c>
      <c r="D25" s="1367">
        <v>27</v>
      </c>
      <c r="E25" s="1366">
        <v>24</v>
      </c>
      <c r="F25" s="1368">
        <v>2</v>
      </c>
      <c r="G25" s="1369">
        <v>0</v>
      </c>
      <c r="H25" s="1368">
        <v>95</v>
      </c>
      <c r="I25" s="1366">
        <v>77</v>
      </c>
      <c r="J25" s="1370" t="s">
        <v>345</v>
      </c>
      <c r="K25" s="1369">
        <v>18</v>
      </c>
      <c r="L25" s="1368">
        <v>1</v>
      </c>
      <c r="M25" s="1371">
        <v>1</v>
      </c>
      <c r="N25" s="1347"/>
      <c r="O25" s="1365"/>
      <c r="P25" s="1347"/>
      <c r="Q25" s="1347"/>
      <c r="R25" s="1347"/>
      <c r="S25" s="1347"/>
      <c r="T25" s="1347"/>
      <c r="U25" s="1347"/>
      <c r="V25" s="1347"/>
      <c r="W25" s="1347"/>
      <c r="X25" s="1347"/>
      <c r="Y25" s="1347"/>
      <c r="Z25" s="1347"/>
      <c r="AA25" s="1347"/>
      <c r="AB25" s="1347"/>
      <c r="AC25" s="1347"/>
      <c r="AD25" s="1347"/>
    </row>
    <row r="26" spans="1:30" s="1201" customFormat="1" ht="12.9" customHeight="1">
      <c r="A26" s="2463"/>
      <c r="B26" s="1358" t="s">
        <v>2709</v>
      </c>
      <c r="C26" s="1372">
        <v>65</v>
      </c>
      <c r="D26" s="1373">
        <v>50</v>
      </c>
      <c r="E26" s="1372">
        <v>43</v>
      </c>
      <c r="F26" s="1374">
        <v>6</v>
      </c>
      <c r="G26" s="1375">
        <v>1</v>
      </c>
      <c r="H26" s="1374">
        <v>15</v>
      </c>
      <c r="I26" s="1372">
        <v>15</v>
      </c>
      <c r="J26" s="1376" t="s">
        <v>345</v>
      </c>
      <c r="K26" s="1375">
        <v>1</v>
      </c>
      <c r="L26" s="1374">
        <v>0</v>
      </c>
      <c r="M26" s="1377">
        <v>0</v>
      </c>
      <c r="N26" s="1347"/>
      <c r="O26" s="1365"/>
      <c r="P26" s="1347"/>
      <c r="Q26" s="1347"/>
      <c r="R26" s="1347"/>
      <c r="S26" s="1347"/>
      <c r="T26" s="1347"/>
      <c r="U26" s="1347"/>
      <c r="V26" s="1347"/>
      <c r="W26" s="1347"/>
      <c r="X26" s="1347"/>
      <c r="Y26" s="1347"/>
      <c r="Z26" s="1347"/>
      <c r="AA26" s="1347"/>
      <c r="AB26" s="1347"/>
      <c r="AC26" s="1347"/>
      <c r="AD26" s="1347"/>
    </row>
    <row r="27" spans="1:30" s="1201" customFormat="1" ht="12.9" customHeight="1">
      <c r="A27" s="2464" t="s">
        <v>43</v>
      </c>
      <c r="B27" s="1354" t="s">
        <v>843</v>
      </c>
      <c r="C27" s="1382">
        <f>+SUM(C28:C33)</f>
        <v>1857</v>
      </c>
      <c r="D27" s="1382">
        <f t="shared" ref="D27:M27" si="0">+SUM(D28:D33)</f>
        <v>1555</v>
      </c>
      <c r="E27" s="1382">
        <f t="shared" si="0"/>
        <v>1253</v>
      </c>
      <c r="F27" s="1382">
        <f t="shared" si="0"/>
        <v>197</v>
      </c>
      <c r="G27" s="1382">
        <f t="shared" si="0"/>
        <v>122</v>
      </c>
      <c r="H27" s="1382">
        <f t="shared" si="0"/>
        <v>272</v>
      </c>
      <c r="I27" s="1383" t="s">
        <v>69</v>
      </c>
      <c r="J27" s="1382">
        <f t="shared" si="0"/>
        <v>7</v>
      </c>
      <c r="K27" s="1383" t="s">
        <v>73</v>
      </c>
      <c r="L27" s="1382">
        <f t="shared" si="0"/>
        <v>30</v>
      </c>
      <c r="M27" s="1384">
        <f t="shared" si="0"/>
        <v>30</v>
      </c>
      <c r="N27" s="1347"/>
      <c r="O27" s="1365"/>
      <c r="P27" s="1347"/>
      <c r="Q27" s="1347"/>
      <c r="R27" s="1347"/>
      <c r="S27" s="1347"/>
      <c r="T27" s="1347"/>
      <c r="U27" s="1347"/>
      <c r="V27" s="1347"/>
      <c r="W27" s="1347"/>
      <c r="X27" s="1347"/>
      <c r="Y27" s="1347"/>
      <c r="Z27" s="1347"/>
      <c r="AA27" s="1347"/>
      <c r="AB27" s="1347"/>
      <c r="AC27" s="1347"/>
      <c r="AD27" s="1347"/>
    </row>
    <row r="28" spans="1:30" s="1201" customFormat="1" ht="12.9" customHeight="1">
      <c r="A28" s="2464"/>
      <c r="B28" s="1354" t="s">
        <v>2706</v>
      </c>
      <c r="C28" s="1382">
        <v>168</v>
      </c>
      <c r="D28" s="1385">
        <v>146</v>
      </c>
      <c r="E28" s="1382">
        <v>104</v>
      </c>
      <c r="F28" s="1386">
        <v>16</v>
      </c>
      <c r="G28" s="1387">
        <v>27</v>
      </c>
      <c r="H28" s="1386">
        <v>12</v>
      </c>
      <c r="I28" s="1388" t="s">
        <v>73</v>
      </c>
      <c r="J28" s="1389" t="s">
        <v>384</v>
      </c>
      <c r="K28" s="1390" t="s">
        <v>73</v>
      </c>
      <c r="L28" s="1386">
        <v>10</v>
      </c>
      <c r="M28" s="1384">
        <v>10</v>
      </c>
      <c r="N28" s="1347"/>
      <c r="O28" s="1365"/>
      <c r="P28" s="1347"/>
      <c r="Q28" s="1347"/>
      <c r="R28" s="1347"/>
      <c r="S28" s="1347"/>
      <c r="T28" s="1347"/>
      <c r="U28" s="1347"/>
      <c r="V28" s="1347"/>
      <c r="W28" s="1347"/>
      <c r="X28" s="1347"/>
      <c r="Y28" s="1347"/>
      <c r="Z28" s="1347"/>
      <c r="AA28" s="1347"/>
      <c r="AB28" s="1347"/>
      <c r="AC28" s="1347"/>
      <c r="AD28" s="1347"/>
    </row>
    <row r="29" spans="1:30" s="1201" customFormat="1" ht="12.9" customHeight="1">
      <c r="A29" s="2464"/>
      <c r="B29" s="1354" t="s">
        <v>202</v>
      </c>
      <c r="C29" s="1382">
        <v>519</v>
      </c>
      <c r="D29" s="1385">
        <v>417</v>
      </c>
      <c r="E29" s="1382">
        <v>328</v>
      </c>
      <c r="F29" s="1386">
        <v>105</v>
      </c>
      <c r="G29" s="1387">
        <v>0</v>
      </c>
      <c r="H29" s="1386">
        <v>100</v>
      </c>
      <c r="I29" s="1388" t="s">
        <v>73</v>
      </c>
      <c r="J29" s="1389">
        <v>0</v>
      </c>
      <c r="K29" s="1390" t="s">
        <v>73</v>
      </c>
      <c r="L29" s="1386">
        <v>2</v>
      </c>
      <c r="M29" s="1384">
        <v>2</v>
      </c>
      <c r="N29" s="1347"/>
      <c r="O29" s="1365"/>
      <c r="P29" s="1347"/>
      <c r="Q29" s="1347"/>
      <c r="R29" s="1347"/>
      <c r="S29" s="1347"/>
      <c r="T29" s="1347"/>
      <c r="U29" s="1347"/>
      <c r="V29" s="1347"/>
      <c r="W29" s="1347"/>
      <c r="X29" s="1347"/>
      <c r="Y29" s="1347"/>
      <c r="Z29" s="1347"/>
      <c r="AA29" s="1347"/>
      <c r="AB29" s="1347"/>
      <c r="AC29" s="1347"/>
      <c r="AD29" s="1347"/>
    </row>
    <row r="30" spans="1:30" s="1201" customFormat="1" ht="12.75" customHeight="1">
      <c r="A30" s="2464"/>
      <c r="B30" s="1354" t="s">
        <v>2707</v>
      </c>
      <c r="C30" s="1382">
        <v>868</v>
      </c>
      <c r="D30" s="1385">
        <v>744</v>
      </c>
      <c r="E30" s="1382">
        <v>618</v>
      </c>
      <c r="F30" s="1386">
        <v>72</v>
      </c>
      <c r="G30" s="1387">
        <v>54</v>
      </c>
      <c r="H30" s="1386">
        <v>108</v>
      </c>
      <c r="I30" s="1388" t="s">
        <v>73</v>
      </c>
      <c r="J30" s="1389">
        <v>7</v>
      </c>
      <c r="K30" s="1390" t="s">
        <v>73</v>
      </c>
      <c r="L30" s="1386">
        <v>16</v>
      </c>
      <c r="M30" s="1384">
        <v>16</v>
      </c>
      <c r="N30" s="1347"/>
      <c r="O30" s="1347"/>
      <c r="P30" s="1347"/>
      <c r="Q30" s="1347"/>
      <c r="R30" s="1347"/>
      <c r="S30" s="1347"/>
      <c r="T30" s="1347"/>
      <c r="U30" s="1347"/>
      <c r="V30" s="1347"/>
      <c r="W30" s="1347"/>
      <c r="X30" s="1347"/>
      <c r="Y30" s="1347"/>
      <c r="Z30" s="1347"/>
      <c r="AA30" s="1347"/>
      <c r="AB30" s="1347"/>
      <c r="AC30" s="1347"/>
      <c r="AD30" s="1347"/>
    </row>
    <row r="31" spans="1:30" s="1201" customFormat="1" ht="12.75" customHeight="1">
      <c r="A31" s="2464"/>
      <c r="B31" s="1354" t="s">
        <v>204</v>
      </c>
      <c r="C31" s="1382">
        <v>199</v>
      </c>
      <c r="D31" s="1385">
        <v>183</v>
      </c>
      <c r="E31" s="1382">
        <v>155</v>
      </c>
      <c r="F31" s="1386">
        <v>1</v>
      </c>
      <c r="G31" s="1387">
        <v>27</v>
      </c>
      <c r="H31" s="1386">
        <v>15</v>
      </c>
      <c r="I31" s="1388" t="s">
        <v>73</v>
      </c>
      <c r="J31" s="1389" t="s">
        <v>384</v>
      </c>
      <c r="K31" s="1390" t="s">
        <v>73</v>
      </c>
      <c r="L31" s="1386">
        <v>1</v>
      </c>
      <c r="M31" s="1384">
        <v>1</v>
      </c>
      <c r="N31" s="1347"/>
      <c r="O31" s="1378"/>
      <c r="P31" s="1347"/>
      <c r="Q31" s="1347"/>
      <c r="R31" s="1347"/>
      <c r="S31" s="1347"/>
      <c r="T31" s="1347"/>
      <c r="U31" s="1347"/>
      <c r="V31" s="1347"/>
      <c r="W31" s="1347"/>
      <c r="X31" s="1347"/>
      <c r="Y31" s="1347"/>
      <c r="Z31" s="1347"/>
      <c r="AA31" s="1347"/>
      <c r="AB31" s="1347"/>
      <c r="AC31" s="1347"/>
      <c r="AD31" s="1347"/>
    </row>
    <row r="32" spans="1:30" s="1201" customFormat="1" ht="12.75" customHeight="1">
      <c r="A32" s="2464"/>
      <c r="B32" s="1354" t="s">
        <v>2708</v>
      </c>
      <c r="C32" s="1382">
        <v>41</v>
      </c>
      <c r="D32" s="1385">
        <v>23</v>
      </c>
      <c r="E32" s="1382">
        <v>16</v>
      </c>
      <c r="F32" s="1386">
        <v>0</v>
      </c>
      <c r="G32" s="1387">
        <v>7</v>
      </c>
      <c r="H32" s="1386">
        <v>17</v>
      </c>
      <c r="I32" s="1388" t="s">
        <v>73</v>
      </c>
      <c r="J32" s="1389" t="s">
        <v>384</v>
      </c>
      <c r="K32" s="1390" t="s">
        <v>73</v>
      </c>
      <c r="L32" s="1386">
        <v>1</v>
      </c>
      <c r="M32" s="1384">
        <v>1</v>
      </c>
      <c r="N32" s="1347"/>
      <c r="O32" s="1378"/>
      <c r="P32" s="1347"/>
      <c r="Q32" s="1347"/>
      <c r="R32" s="1347"/>
      <c r="S32" s="1347"/>
      <c r="T32" s="1347"/>
      <c r="U32" s="1347"/>
      <c r="V32" s="1347"/>
      <c r="W32" s="1347"/>
      <c r="X32" s="1347"/>
      <c r="Y32" s="1347"/>
      <c r="Z32" s="1347"/>
      <c r="AA32" s="1347"/>
      <c r="AB32" s="1347"/>
      <c r="AC32" s="1347"/>
      <c r="AD32" s="1347"/>
    </row>
    <row r="33" spans="1:22" s="1201" customFormat="1" ht="12.9" customHeight="1" thickBot="1">
      <c r="A33" s="2465"/>
      <c r="B33" s="1379" t="s">
        <v>2709</v>
      </c>
      <c r="C33" s="1391">
        <v>62</v>
      </c>
      <c r="D33" s="1392">
        <v>42</v>
      </c>
      <c r="E33" s="1391">
        <v>32</v>
      </c>
      <c r="F33" s="1393">
        <v>3</v>
      </c>
      <c r="G33" s="1394">
        <v>7</v>
      </c>
      <c r="H33" s="1393">
        <v>20</v>
      </c>
      <c r="I33" s="1395" t="s">
        <v>73</v>
      </c>
      <c r="J33" s="1396" t="s">
        <v>384</v>
      </c>
      <c r="K33" s="1397" t="s">
        <v>73</v>
      </c>
      <c r="L33" s="1396" t="s">
        <v>384</v>
      </c>
      <c r="M33" s="1398" t="s">
        <v>384</v>
      </c>
      <c r="O33" s="1343"/>
    </row>
    <row r="34" spans="1:22" s="1201" customFormat="1" ht="15" customHeight="1">
      <c r="A34" s="2460" t="s">
        <v>2710</v>
      </c>
      <c r="B34" s="2460"/>
      <c r="C34" s="2460"/>
      <c r="D34" s="2460"/>
      <c r="N34" s="1343"/>
      <c r="O34" s="1343"/>
      <c r="P34" s="1343"/>
      <c r="Q34" s="1343"/>
      <c r="R34" s="1343"/>
      <c r="S34" s="1343"/>
      <c r="T34" s="1343"/>
      <c r="U34" s="1343"/>
      <c r="V34" s="1343"/>
    </row>
    <row r="35" spans="1:22" s="1201" customFormat="1" ht="15" customHeight="1">
      <c r="A35" s="1201" t="s">
        <v>2711</v>
      </c>
      <c r="K35" s="1380"/>
      <c r="N35" s="1343"/>
      <c r="O35" s="1343"/>
      <c r="P35" s="1343"/>
      <c r="Q35" s="1343"/>
      <c r="R35" s="1343"/>
      <c r="S35" s="1343"/>
      <c r="T35" s="1343"/>
      <c r="U35" s="1343"/>
      <c r="V35" s="1343"/>
    </row>
    <row r="36" spans="1:22">
      <c r="A36" s="1201" t="s">
        <v>3675</v>
      </c>
      <c r="K36" s="1380"/>
    </row>
    <row r="37" spans="1:22">
      <c r="K37" s="1380"/>
    </row>
    <row r="38" spans="1:22">
      <c r="K38" s="1380"/>
    </row>
    <row r="39" spans="1:22">
      <c r="A39" s="1381"/>
    </row>
  </sheetData>
  <mergeCells count="18">
    <mergeCell ref="A2:A5"/>
    <mergeCell ref="B2:B5"/>
    <mergeCell ref="C3:C5"/>
    <mergeCell ref="D4:D5"/>
    <mergeCell ref="A34:D34"/>
    <mergeCell ref="L4:L5"/>
    <mergeCell ref="M4:M5"/>
    <mergeCell ref="A6:A12"/>
    <mergeCell ref="A13:A19"/>
    <mergeCell ref="A20:A26"/>
    <mergeCell ref="A27:A33"/>
    <mergeCell ref="F4:F5"/>
    <mergeCell ref="G4:G5"/>
    <mergeCell ref="H4:H5"/>
    <mergeCell ref="I4:I5"/>
    <mergeCell ref="J4:J5"/>
    <mergeCell ref="K4:K5"/>
    <mergeCell ref="E4:E5"/>
  </mergeCells>
  <phoneticPr fontId="4"/>
  <pageMargins left="0.7" right="0.7" top="0.75" bottom="0.75" header="0.3" footer="0.3"/>
  <pageSetup paperSize="9" scale="9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EAD00-3AF8-4CC3-804C-6281A94AE30E}">
  <sheetPr codeName="Sheet100"/>
  <dimension ref="A1:O15"/>
  <sheetViews>
    <sheetView workbookViewId="0"/>
  </sheetViews>
  <sheetFormatPr defaultRowHeight="13.2"/>
  <cols>
    <col min="1" max="1" width="6.3984375" style="1431" customWidth="1"/>
    <col min="2" max="2" width="6.69921875" style="1431" customWidth="1"/>
    <col min="3" max="3" width="7.59765625" style="1431" bestFit="1" customWidth="1"/>
    <col min="4" max="4" width="2.5" style="1431" customWidth="1"/>
    <col min="5" max="12" width="6.8984375" style="1431" customWidth="1"/>
    <col min="13" max="256" width="8.796875" style="1431"/>
    <col min="257" max="257" width="6.3984375" style="1431" customWidth="1"/>
    <col min="258" max="258" width="6.69921875" style="1431" customWidth="1"/>
    <col min="259" max="259" width="6.5" style="1431" customWidth="1"/>
    <col min="260" max="260" width="2.5" style="1431" customWidth="1"/>
    <col min="261" max="268" width="6.8984375" style="1431" customWidth="1"/>
    <col min="269" max="512" width="8.796875" style="1431"/>
    <col min="513" max="513" width="6.3984375" style="1431" customWidth="1"/>
    <col min="514" max="514" width="6.69921875" style="1431" customWidth="1"/>
    <col min="515" max="515" width="6.5" style="1431" customWidth="1"/>
    <col min="516" max="516" width="2.5" style="1431" customWidth="1"/>
    <col min="517" max="524" width="6.8984375" style="1431" customWidth="1"/>
    <col min="525" max="768" width="8.796875" style="1431"/>
    <col min="769" max="769" width="6.3984375" style="1431" customWidth="1"/>
    <col min="770" max="770" width="6.69921875" style="1431" customWidth="1"/>
    <col min="771" max="771" width="6.5" style="1431" customWidth="1"/>
    <col min="772" max="772" width="2.5" style="1431" customWidth="1"/>
    <col min="773" max="780" width="6.8984375" style="1431" customWidth="1"/>
    <col min="781" max="1024" width="8.796875" style="1431"/>
    <col min="1025" max="1025" width="6.3984375" style="1431" customWidth="1"/>
    <col min="1026" max="1026" width="6.69921875" style="1431" customWidth="1"/>
    <col min="1027" max="1027" width="6.5" style="1431" customWidth="1"/>
    <col min="1028" max="1028" width="2.5" style="1431" customWidth="1"/>
    <col min="1029" max="1036" width="6.8984375" style="1431" customWidth="1"/>
    <col min="1037" max="1280" width="8.796875" style="1431"/>
    <col min="1281" max="1281" width="6.3984375" style="1431" customWidth="1"/>
    <col min="1282" max="1282" width="6.69921875" style="1431" customWidth="1"/>
    <col min="1283" max="1283" width="6.5" style="1431" customWidth="1"/>
    <col min="1284" max="1284" width="2.5" style="1431" customWidth="1"/>
    <col min="1285" max="1292" width="6.8984375" style="1431" customWidth="1"/>
    <col min="1293" max="1536" width="8.796875" style="1431"/>
    <col min="1537" max="1537" width="6.3984375" style="1431" customWidth="1"/>
    <col min="1538" max="1538" width="6.69921875" style="1431" customWidth="1"/>
    <col min="1539" max="1539" width="6.5" style="1431" customWidth="1"/>
    <col min="1540" max="1540" width="2.5" style="1431" customWidth="1"/>
    <col min="1541" max="1548" width="6.8984375" style="1431" customWidth="1"/>
    <col min="1549" max="1792" width="8.796875" style="1431"/>
    <col min="1793" max="1793" width="6.3984375" style="1431" customWidth="1"/>
    <col min="1794" max="1794" width="6.69921875" style="1431" customWidth="1"/>
    <col min="1795" max="1795" width="6.5" style="1431" customWidth="1"/>
    <col min="1796" max="1796" width="2.5" style="1431" customWidth="1"/>
    <col min="1797" max="1804" width="6.8984375" style="1431" customWidth="1"/>
    <col min="1805" max="2048" width="8.796875" style="1431"/>
    <col min="2049" max="2049" width="6.3984375" style="1431" customWidth="1"/>
    <col min="2050" max="2050" width="6.69921875" style="1431" customWidth="1"/>
    <col min="2051" max="2051" width="6.5" style="1431" customWidth="1"/>
    <col min="2052" max="2052" width="2.5" style="1431" customWidth="1"/>
    <col min="2053" max="2060" width="6.8984375" style="1431" customWidth="1"/>
    <col min="2061" max="2304" width="8.796875" style="1431"/>
    <col min="2305" max="2305" width="6.3984375" style="1431" customWidth="1"/>
    <col min="2306" max="2306" width="6.69921875" style="1431" customWidth="1"/>
    <col min="2307" max="2307" width="6.5" style="1431" customWidth="1"/>
    <col min="2308" max="2308" width="2.5" style="1431" customWidth="1"/>
    <col min="2309" max="2316" width="6.8984375" style="1431" customWidth="1"/>
    <col min="2317" max="2560" width="8.796875" style="1431"/>
    <col min="2561" max="2561" width="6.3984375" style="1431" customWidth="1"/>
    <col min="2562" max="2562" width="6.69921875" style="1431" customWidth="1"/>
    <col min="2563" max="2563" width="6.5" style="1431" customWidth="1"/>
    <col min="2564" max="2564" width="2.5" style="1431" customWidth="1"/>
    <col min="2565" max="2572" width="6.8984375" style="1431" customWidth="1"/>
    <col min="2573" max="2816" width="8.796875" style="1431"/>
    <col min="2817" max="2817" width="6.3984375" style="1431" customWidth="1"/>
    <col min="2818" max="2818" width="6.69921875" style="1431" customWidth="1"/>
    <col min="2819" max="2819" width="6.5" style="1431" customWidth="1"/>
    <col min="2820" max="2820" width="2.5" style="1431" customWidth="1"/>
    <col min="2821" max="2828" width="6.8984375" style="1431" customWidth="1"/>
    <col min="2829" max="3072" width="8.796875" style="1431"/>
    <col min="3073" max="3073" width="6.3984375" style="1431" customWidth="1"/>
    <col min="3074" max="3074" width="6.69921875" style="1431" customWidth="1"/>
    <col min="3075" max="3075" width="6.5" style="1431" customWidth="1"/>
    <col min="3076" max="3076" width="2.5" style="1431" customWidth="1"/>
    <col min="3077" max="3084" width="6.8984375" style="1431" customWidth="1"/>
    <col min="3085" max="3328" width="8.796875" style="1431"/>
    <col min="3329" max="3329" width="6.3984375" style="1431" customWidth="1"/>
    <col min="3330" max="3330" width="6.69921875" style="1431" customWidth="1"/>
    <col min="3331" max="3331" width="6.5" style="1431" customWidth="1"/>
    <col min="3332" max="3332" width="2.5" style="1431" customWidth="1"/>
    <col min="3333" max="3340" width="6.8984375" style="1431" customWidth="1"/>
    <col min="3341" max="3584" width="8.796875" style="1431"/>
    <col min="3585" max="3585" width="6.3984375" style="1431" customWidth="1"/>
    <col min="3586" max="3586" width="6.69921875" style="1431" customWidth="1"/>
    <col min="3587" max="3587" width="6.5" style="1431" customWidth="1"/>
    <col min="3588" max="3588" width="2.5" style="1431" customWidth="1"/>
    <col min="3589" max="3596" width="6.8984375" style="1431" customWidth="1"/>
    <col min="3597" max="3840" width="8.796875" style="1431"/>
    <col min="3841" max="3841" width="6.3984375" style="1431" customWidth="1"/>
    <col min="3842" max="3842" width="6.69921875" style="1431" customWidth="1"/>
    <col min="3843" max="3843" width="6.5" style="1431" customWidth="1"/>
    <col min="3844" max="3844" width="2.5" style="1431" customWidth="1"/>
    <col min="3845" max="3852" width="6.8984375" style="1431" customWidth="1"/>
    <col min="3853" max="4096" width="8.796875" style="1431"/>
    <col min="4097" max="4097" width="6.3984375" style="1431" customWidth="1"/>
    <col min="4098" max="4098" width="6.69921875" style="1431" customWidth="1"/>
    <col min="4099" max="4099" width="6.5" style="1431" customWidth="1"/>
    <col min="4100" max="4100" width="2.5" style="1431" customWidth="1"/>
    <col min="4101" max="4108" width="6.8984375" style="1431" customWidth="1"/>
    <col min="4109" max="4352" width="8.796875" style="1431"/>
    <col min="4353" max="4353" width="6.3984375" style="1431" customWidth="1"/>
    <col min="4354" max="4354" width="6.69921875" style="1431" customWidth="1"/>
    <col min="4355" max="4355" width="6.5" style="1431" customWidth="1"/>
    <col min="4356" max="4356" width="2.5" style="1431" customWidth="1"/>
    <col min="4357" max="4364" width="6.8984375" style="1431" customWidth="1"/>
    <col min="4365" max="4608" width="8.796875" style="1431"/>
    <col min="4609" max="4609" width="6.3984375" style="1431" customWidth="1"/>
    <col min="4610" max="4610" width="6.69921875" style="1431" customWidth="1"/>
    <col min="4611" max="4611" width="6.5" style="1431" customWidth="1"/>
    <col min="4612" max="4612" width="2.5" style="1431" customWidth="1"/>
    <col min="4613" max="4620" width="6.8984375" style="1431" customWidth="1"/>
    <col min="4621" max="4864" width="8.796875" style="1431"/>
    <col min="4865" max="4865" width="6.3984375" style="1431" customWidth="1"/>
    <col min="4866" max="4866" width="6.69921875" style="1431" customWidth="1"/>
    <col min="4867" max="4867" width="6.5" style="1431" customWidth="1"/>
    <col min="4868" max="4868" width="2.5" style="1431" customWidth="1"/>
    <col min="4869" max="4876" width="6.8984375" style="1431" customWidth="1"/>
    <col min="4877" max="5120" width="8.796875" style="1431"/>
    <col min="5121" max="5121" width="6.3984375" style="1431" customWidth="1"/>
    <col min="5122" max="5122" width="6.69921875" style="1431" customWidth="1"/>
    <col min="5123" max="5123" width="6.5" style="1431" customWidth="1"/>
    <col min="5124" max="5124" width="2.5" style="1431" customWidth="1"/>
    <col min="5125" max="5132" width="6.8984375" style="1431" customWidth="1"/>
    <col min="5133" max="5376" width="8.796875" style="1431"/>
    <col min="5377" max="5377" width="6.3984375" style="1431" customWidth="1"/>
    <col min="5378" max="5378" width="6.69921875" style="1431" customWidth="1"/>
    <col min="5379" max="5379" width="6.5" style="1431" customWidth="1"/>
    <col min="5380" max="5380" width="2.5" style="1431" customWidth="1"/>
    <col min="5381" max="5388" width="6.8984375" style="1431" customWidth="1"/>
    <col min="5389" max="5632" width="8.796875" style="1431"/>
    <col min="5633" max="5633" width="6.3984375" style="1431" customWidth="1"/>
    <col min="5634" max="5634" width="6.69921875" style="1431" customWidth="1"/>
    <col min="5635" max="5635" width="6.5" style="1431" customWidth="1"/>
    <col min="5636" max="5636" width="2.5" style="1431" customWidth="1"/>
    <col min="5637" max="5644" width="6.8984375" style="1431" customWidth="1"/>
    <col min="5645" max="5888" width="8.796875" style="1431"/>
    <col min="5889" max="5889" width="6.3984375" style="1431" customWidth="1"/>
    <col min="5890" max="5890" width="6.69921875" style="1431" customWidth="1"/>
    <col min="5891" max="5891" width="6.5" style="1431" customWidth="1"/>
    <col min="5892" max="5892" width="2.5" style="1431" customWidth="1"/>
    <col min="5893" max="5900" width="6.8984375" style="1431" customWidth="1"/>
    <col min="5901" max="6144" width="8.796875" style="1431"/>
    <col min="6145" max="6145" width="6.3984375" style="1431" customWidth="1"/>
    <col min="6146" max="6146" width="6.69921875" style="1431" customWidth="1"/>
    <col min="6147" max="6147" width="6.5" style="1431" customWidth="1"/>
    <col min="6148" max="6148" width="2.5" style="1431" customWidth="1"/>
    <col min="6149" max="6156" width="6.8984375" style="1431" customWidth="1"/>
    <col min="6157" max="6400" width="8.796875" style="1431"/>
    <col min="6401" max="6401" width="6.3984375" style="1431" customWidth="1"/>
    <col min="6402" max="6402" width="6.69921875" style="1431" customWidth="1"/>
    <col min="6403" max="6403" width="6.5" style="1431" customWidth="1"/>
    <col min="6404" max="6404" width="2.5" style="1431" customWidth="1"/>
    <col min="6405" max="6412" width="6.8984375" style="1431" customWidth="1"/>
    <col min="6413" max="6656" width="8.796875" style="1431"/>
    <col min="6657" max="6657" width="6.3984375" style="1431" customWidth="1"/>
    <col min="6658" max="6658" width="6.69921875" style="1431" customWidth="1"/>
    <col min="6659" max="6659" width="6.5" style="1431" customWidth="1"/>
    <col min="6660" max="6660" width="2.5" style="1431" customWidth="1"/>
    <col min="6661" max="6668" width="6.8984375" style="1431" customWidth="1"/>
    <col min="6669" max="6912" width="8.796875" style="1431"/>
    <col min="6913" max="6913" width="6.3984375" style="1431" customWidth="1"/>
    <col min="6914" max="6914" width="6.69921875" style="1431" customWidth="1"/>
    <col min="6915" max="6915" width="6.5" style="1431" customWidth="1"/>
    <col min="6916" max="6916" width="2.5" style="1431" customWidth="1"/>
    <col min="6917" max="6924" width="6.8984375" style="1431" customWidth="1"/>
    <col min="6925" max="7168" width="8.796875" style="1431"/>
    <col min="7169" max="7169" width="6.3984375" style="1431" customWidth="1"/>
    <col min="7170" max="7170" width="6.69921875" style="1431" customWidth="1"/>
    <col min="7171" max="7171" width="6.5" style="1431" customWidth="1"/>
    <col min="7172" max="7172" width="2.5" style="1431" customWidth="1"/>
    <col min="7173" max="7180" width="6.8984375" style="1431" customWidth="1"/>
    <col min="7181" max="7424" width="8.796875" style="1431"/>
    <col min="7425" max="7425" width="6.3984375" style="1431" customWidth="1"/>
    <col min="7426" max="7426" width="6.69921875" style="1431" customWidth="1"/>
    <col min="7427" max="7427" width="6.5" style="1431" customWidth="1"/>
    <col min="7428" max="7428" width="2.5" style="1431" customWidth="1"/>
    <col min="7429" max="7436" width="6.8984375" style="1431" customWidth="1"/>
    <col min="7437" max="7680" width="8.796875" style="1431"/>
    <col min="7681" max="7681" width="6.3984375" style="1431" customWidth="1"/>
    <col min="7682" max="7682" width="6.69921875" style="1431" customWidth="1"/>
    <col min="7683" max="7683" width="6.5" style="1431" customWidth="1"/>
    <col min="7684" max="7684" width="2.5" style="1431" customWidth="1"/>
    <col min="7685" max="7692" width="6.8984375" style="1431" customWidth="1"/>
    <col min="7693" max="7936" width="8.796875" style="1431"/>
    <col min="7937" max="7937" width="6.3984375" style="1431" customWidth="1"/>
    <col min="7938" max="7938" width="6.69921875" style="1431" customWidth="1"/>
    <col min="7939" max="7939" width="6.5" style="1431" customWidth="1"/>
    <col min="7940" max="7940" width="2.5" style="1431" customWidth="1"/>
    <col min="7941" max="7948" width="6.8984375" style="1431" customWidth="1"/>
    <col min="7949" max="8192" width="8.796875" style="1431"/>
    <col min="8193" max="8193" width="6.3984375" style="1431" customWidth="1"/>
    <col min="8194" max="8194" width="6.69921875" style="1431" customWidth="1"/>
    <col min="8195" max="8195" width="6.5" style="1431" customWidth="1"/>
    <col min="8196" max="8196" width="2.5" style="1431" customWidth="1"/>
    <col min="8197" max="8204" width="6.8984375" style="1431" customWidth="1"/>
    <col min="8205" max="8448" width="8.796875" style="1431"/>
    <col min="8449" max="8449" width="6.3984375" style="1431" customWidth="1"/>
    <col min="8450" max="8450" width="6.69921875" style="1431" customWidth="1"/>
    <col min="8451" max="8451" width="6.5" style="1431" customWidth="1"/>
    <col min="8452" max="8452" width="2.5" style="1431" customWidth="1"/>
    <col min="8453" max="8460" width="6.8984375" style="1431" customWidth="1"/>
    <col min="8461" max="8704" width="8.796875" style="1431"/>
    <col min="8705" max="8705" width="6.3984375" style="1431" customWidth="1"/>
    <col min="8706" max="8706" width="6.69921875" style="1431" customWidth="1"/>
    <col min="8707" max="8707" width="6.5" style="1431" customWidth="1"/>
    <col min="8708" max="8708" width="2.5" style="1431" customWidth="1"/>
    <col min="8709" max="8716" width="6.8984375" style="1431" customWidth="1"/>
    <col min="8717" max="8960" width="8.796875" style="1431"/>
    <col min="8961" max="8961" width="6.3984375" style="1431" customWidth="1"/>
    <col min="8962" max="8962" width="6.69921875" style="1431" customWidth="1"/>
    <col min="8963" max="8963" width="6.5" style="1431" customWidth="1"/>
    <col min="8964" max="8964" width="2.5" style="1431" customWidth="1"/>
    <col min="8965" max="8972" width="6.8984375" style="1431" customWidth="1"/>
    <col min="8973" max="9216" width="8.796875" style="1431"/>
    <col min="9217" max="9217" width="6.3984375" style="1431" customWidth="1"/>
    <col min="9218" max="9218" width="6.69921875" style="1431" customWidth="1"/>
    <col min="9219" max="9219" width="6.5" style="1431" customWidth="1"/>
    <col min="9220" max="9220" width="2.5" style="1431" customWidth="1"/>
    <col min="9221" max="9228" width="6.8984375" style="1431" customWidth="1"/>
    <col min="9229" max="9472" width="8.796875" style="1431"/>
    <col min="9473" max="9473" width="6.3984375" style="1431" customWidth="1"/>
    <col min="9474" max="9474" width="6.69921875" style="1431" customWidth="1"/>
    <col min="9475" max="9475" width="6.5" style="1431" customWidth="1"/>
    <col min="9476" max="9476" width="2.5" style="1431" customWidth="1"/>
    <col min="9477" max="9484" width="6.8984375" style="1431" customWidth="1"/>
    <col min="9485" max="9728" width="8.796875" style="1431"/>
    <col min="9729" max="9729" width="6.3984375" style="1431" customWidth="1"/>
    <col min="9730" max="9730" width="6.69921875" style="1431" customWidth="1"/>
    <col min="9731" max="9731" width="6.5" style="1431" customWidth="1"/>
    <col min="9732" max="9732" width="2.5" style="1431" customWidth="1"/>
    <col min="9733" max="9740" width="6.8984375" style="1431" customWidth="1"/>
    <col min="9741" max="9984" width="8.796875" style="1431"/>
    <col min="9985" max="9985" width="6.3984375" style="1431" customWidth="1"/>
    <col min="9986" max="9986" width="6.69921875" style="1431" customWidth="1"/>
    <col min="9987" max="9987" width="6.5" style="1431" customWidth="1"/>
    <col min="9988" max="9988" width="2.5" style="1431" customWidth="1"/>
    <col min="9989" max="9996" width="6.8984375" style="1431" customWidth="1"/>
    <col min="9997" max="10240" width="8.796875" style="1431"/>
    <col min="10241" max="10241" width="6.3984375" style="1431" customWidth="1"/>
    <col min="10242" max="10242" width="6.69921875" style="1431" customWidth="1"/>
    <col min="10243" max="10243" width="6.5" style="1431" customWidth="1"/>
    <col min="10244" max="10244" width="2.5" style="1431" customWidth="1"/>
    <col min="10245" max="10252" width="6.8984375" style="1431" customWidth="1"/>
    <col min="10253" max="10496" width="8.796875" style="1431"/>
    <col min="10497" max="10497" width="6.3984375" style="1431" customWidth="1"/>
    <col min="10498" max="10498" width="6.69921875" style="1431" customWidth="1"/>
    <col min="10499" max="10499" width="6.5" style="1431" customWidth="1"/>
    <col min="10500" max="10500" width="2.5" style="1431" customWidth="1"/>
    <col min="10501" max="10508" width="6.8984375" style="1431" customWidth="1"/>
    <col min="10509" max="10752" width="8.796875" style="1431"/>
    <col min="10753" max="10753" width="6.3984375" style="1431" customWidth="1"/>
    <col min="10754" max="10754" width="6.69921875" style="1431" customWidth="1"/>
    <col min="10755" max="10755" width="6.5" style="1431" customWidth="1"/>
    <col min="10756" max="10756" width="2.5" style="1431" customWidth="1"/>
    <col min="10757" max="10764" width="6.8984375" style="1431" customWidth="1"/>
    <col min="10765" max="11008" width="8.796875" style="1431"/>
    <col min="11009" max="11009" width="6.3984375" style="1431" customWidth="1"/>
    <col min="11010" max="11010" width="6.69921875" style="1431" customWidth="1"/>
    <col min="11011" max="11011" width="6.5" style="1431" customWidth="1"/>
    <col min="11012" max="11012" width="2.5" style="1431" customWidth="1"/>
    <col min="11013" max="11020" width="6.8984375" style="1431" customWidth="1"/>
    <col min="11021" max="11264" width="8.796875" style="1431"/>
    <col min="11265" max="11265" width="6.3984375" style="1431" customWidth="1"/>
    <col min="11266" max="11266" width="6.69921875" style="1431" customWidth="1"/>
    <col min="11267" max="11267" width="6.5" style="1431" customWidth="1"/>
    <col min="11268" max="11268" width="2.5" style="1431" customWidth="1"/>
    <col min="11269" max="11276" width="6.8984375" style="1431" customWidth="1"/>
    <col min="11277" max="11520" width="8.796875" style="1431"/>
    <col min="11521" max="11521" width="6.3984375" style="1431" customWidth="1"/>
    <col min="11522" max="11522" width="6.69921875" style="1431" customWidth="1"/>
    <col min="11523" max="11523" width="6.5" style="1431" customWidth="1"/>
    <col min="11524" max="11524" width="2.5" style="1431" customWidth="1"/>
    <col min="11525" max="11532" width="6.8984375" style="1431" customWidth="1"/>
    <col min="11533" max="11776" width="8.796875" style="1431"/>
    <col min="11777" max="11777" width="6.3984375" style="1431" customWidth="1"/>
    <col min="11778" max="11778" width="6.69921875" style="1431" customWidth="1"/>
    <col min="11779" max="11779" width="6.5" style="1431" customWidth="1"/>
    <col min="11780" max="11780" width="2.5" style="1431" customWidth="1"/>
    <col min="11781" max="11788" width="6.8984375" style="1431" customWidth="1"/>
    <col min="11789" max="12032" width="8.796875" style="1431"/>
    <col min="12033" max="12033" width="6.3984375" style="1431" customWidth="1"/>
    <col min="12034" max="12034" width="6.69921875" style="1431" customWidth="1"/>
    <col min="12035" max="12035" width="6.5" style="1431" customWidth="1"/>
    <col min="12036" max="12036" width="2.5" style="1431" customWidth="1"/>
    <col min="12037" max="12044" width="6.8984375" style="1431" customWidth="1"/>
    <col min="12045" max="12288" width="8.796875" style="1431"/>
    <col min="12289" max="12289" width="6.3984375" style="1431" customWidth="1"/>
    <col min="12290" max="12290" width="6.69921875" style="1431" customWidth="1"/>
    <col min="12291" max="12291" width="6.5" style="1431" customWidth="1"/>
    <col min="12292" max="12292" width="2.5" style="1431" customWidth="1"/>
    <col min="12293" max="12300" width="6.8984375" style="1431" customWidth="1"/>
    <col min="12301" max="12544" width="8.796875" style="1431"/>
    <col min="12545" max="12545" width="6.3984375" style="1431" customWidth="1"/>
    <col min="12546" max="12546" width="6.69921875" style="1431" customWidth="1"/>
    <col min="12547" max="12547" width="6.5" style="1431" customWidth="1"/>
    <col min="12548" max="12548" width="2.5" style="1431" customWidth="1"/>
    <col min="12549" max="12556" width="6.8984375" style="1431" customWidth="1"/>
    <col min="12557" max="12800" width="8.796875" style="1431"/>
    <col min="12801" max="12801" width="6.3984375" style="1431" customWidth="1"/>
    <col min="12802" max="12802" width="6.69921875" style="1431" customWidth="1"/>
    <col min="12803" max="12803" width="6.5" style="1431" customWidth="1"/>
    <col min="12804" max="12804" width="2.5" style="1431" customWidth="1"/>
    <col min="12805" max="12812" width="6.8984375" style="1431" customWidth="1"/>
    <col min="12813" max="13056" width="8.796875" style="1431"/>
    <col min="13057" max="13057" width="6.3984375" style="1431" customWidth="1"/>
    <col min="13058" max="13058" width="6.69921875" style="1431" customWidth="1"/>
    <col min="13059" max="13059" width="6.5" style="1431" customWidth="1"/>
    <col min="13060" max="13060" width="2.5" style="1431" customWidth="1"/>
    <col min="13061" max="13068" width="6.8984375" style="1431" customWidth="1"/>
    <col min="13069" max="13312" width="8.796875" style="1431"/>
    <col min="13313" max="13313" width="6.3984375" style="1431" customWidth="1"/>
    <col min="13314" max="13314" width="6.69921875" style="1431" customWidth="1"/>
    <col min="13315" max="13315" width="6.5" style="1431" customWidth="1"/>
    <col min="13316" max="13316" width="2.5" style="1431" customWidth="1"/>
    <col min="13317" max="13324" width="6.8984375" style="1431" customWidth="1"/>
    <col min="13325" max="13568" width="8.796875" style="1431"/>
    <col min="13569" max="13569" width="6.3984375" style="1431" customWidth="1"/>
    <col min="13570" max="13570" width="6.69921875" style="1431" customWidth="1"/>
    <col min="13571" max="13571" width="6.5" style="1431" customWidth="1"/>
    <col min="13572" max="13572" width="2.5" style="1431" customWidth="1"/>
    <col min="13573" max="13580" width="6.8984375" style="1431" customWidth="1"/>
    <col min="13581" max="13824" width="8.796875" style="1431"/>
    <col min="13825" max="13825" width="6.3984375" style="1431" customWidth="1"/>
    <col min="13826" max="13826" width="6.69921875" style="1431" customWidth="1"/>
    <col min="13827" max="13827" width="6.5" style="1431" customWidth="1"/>
    <col min="13828" max="13828" width="2.5" style="1431" customWidth="1"/>
    <col min="13829" max="13836" width="6.8984375" style="1431" customWidth="1"/>
    <col min="13837" max="14080" width="8.796875" style="1431"/>
    <col min="14081" max="14081" width="6.3984375" style="1431" customWidth="1"/>
    <col min="14082" max="14082" width="6.69921875" style="1431" customWidth="1"/>
    <col min="14083" max="14083" width="6.5" style="1431" customWidth="1"/>
    <col min="14084" max="14084" width="2.5" style="1431" customWidth="1"/>
    <col min="14085" max="14092" width="6.8984375" style="1431" customWidth="1"/>
    <col min="14093" max="14336" width="8.796875" style="1431"/>
    <col min="14337" max="14337" width="6.3984375" style="1431" customWidth="1"/>
    <col min="14338" max="14338" width="6.69921875" style="1431" customWidth="1"/>
    <col min="14339" max="14339" width="6.5" style="1431" customWidth="1"/>
    <col min="14340" max="14340" width="2.5" style="1431" customWidth="1"/>
    <col min="14341" max="14348" width="6.8984375" style="1431" customWidth="1"/>
    <col min="14349" max="14592" width="8.796875" style="1431"/>
    <col min="14593" max="14593" width="6.3984375" style="1431" customWidth="1"/>
    <col min="14594" max="14594" width="6.69921875" style="1431" customWidth="1"/>
    <col min="14595" max="14595" width="6.5" style="1431" customWidth="1"/>
    <col min="14596" max="14596" width="2.5" style="1431" customWidth="1"/>
    <col min="14597" max="14604" width="6.8984375" style="1431" customWidth="1"/>
    <col min="14605" max="14848" width="8.796875" style="1431"/>
    <col min="14849" max="14849" width="6.3984375" style="1431" customWidth="1"/>
    <col min="14850" max="14850" width="6.69921875" style="1431" customWidth="1"/>
    <col min="14851" max="14851" width="6.5" style="1431" customWidth="1"/>
    <col min="14852" max="14852" width="2.5" style="1431" customWidth="1"/>
    <col min="14853" max="14860" width="6.8984375" style="1431" customWidth="1"/>
    <col min="14861" max="15104" width="8.796875" style="1431"/>
    <col min="15105" max="15105" width="6.3984375" style="1431" customWidth="1"/>
    <col min="15106" max="15106" width="6.69921875" style="1431" customWidth="1"/>
    <col min="15107" max="15107" width="6.5" style="1431" customWidth="1"/>
    <col min="15108" max="15108" width="2.5" style="1431" customWidth="1"/>
    <col min="15109" max="15116" width="6.8984375" style="1431" customWidth="1"/>
    <col min="15117" max="15360" width="8.796875" style="1431"/>
    <col min="15361" max="15361" width="6.3984375" style="1431" customWidth="1"/>
    <col min="15362" max="15362" width="6.69921875" style="1431" customWidth="1"/>
    <col min="15363" max="15363" width="6.5" style="1431" customWidth="1"/>
    <col min="15364" max="15364" width="2.5" style="1431" customWidth="1"/>
    <col min="15365" max="15372" width="6.8984375" style="1431" customWidth="1"/>
    <col min="15373" max="15616" width="8.796875" style="1431"/>
    <col min="15617" max="15617" width="6.3984375" style="1431" customWidth="1"/>
    <col min="15618" max="15618" width="6.69921875" style="1431" customWidth="1"/>
    <col min="15619" max="15619" width="6.5" style="1431" customWidth="1"/>
    <col min="15620" max="15620" width="2.5" style="1431" customWidth="1"/>
    <col min="15621" max="15628" width="6.8984375" style="1431" customWidth="1"/>
    <col min="15629" max="15872" width="8.796875" style="1431"/>
    <col min="15873" max="15873" width="6.3984375" style="1431" customWidth="1"/>
    <col min="15874" max="15874" width="6.69921875" style="1431" customWidth="1"/>
    <col min="15875" max="15875" width="6.5" style="1431" customWidth="1"/>
    <col min="15876" max="15876" width="2.5" style="1431" customWidth="1"/>
    <col min="15877" max="15884" width="6.8984375" style="1431" customWidth="1"/>
    <col min="15885" max="16128" width="8.796875" style="1431"/>
    <col min="16129" max="16129" width="6.3984375" style="1431" customWidth="1"/>
    <col min="16130" max="16130" width="6.69921875" style="1431" customWidth="1"/>
    <col min="16131" max="16131" width="6.5" style="1431" customWidth="1"/>
    <col min="16132" max="16132" width="2.5" style="1431" customWidth="1"/>
    <col min="16133" max="16140" width="6.8984375" style="1431" customWidth="1"/>
    <col min="16141" max="16384" width="8.796875" style="1431"/>
  </cols>
  <sheetData>
    <row r="1" spans="1:15" ht="30" customHeight="1" thickBot="1">
      <c r="A1" s="1481" t="s">
        <v>3631</v>
      </c>
      <c r="L1" s="1999" t="s">
        <v>3632</v>
      </c>
    </row>
    <row r="2" spans="1:15" s="1236" customFormat="1" ht="19.8" customHeight="1">
      <c r="A2" s="2395" t="s">
        <v>3633</v>
      </c>
      <c r="B2" s="2393"/>
      <c r="C2" s="2390" t="s">
        <v>570</v>
      </c>
      <c r="D2" s="2393"/>
      <c r="E2" s="1989" t="s">
        <v>3634</v>
      </c>
      <c r="F2" s="1989" t="s">
        <v>286</v>
      </c>
      <c r="G2" s="1989" t="s">
        <v>3635</v>
      </c>
      <c r="H2" s="1989" t="s">
        <v>3636</v>
      </c>
      <c r="I2" s="1989" t="s">
        <v>3637</v>
      </c>
      <c r="J2" s="1989" t="s">
        <v>3638</v>
      </c>
      <c r="K2" s="1989" t="s">
        <v>295</v>
      </c>
      <c r="L2" s="1990" t="s">
        <v>3639</v>
      </c>
    </row>
    <row r="3" spans="1:15" s="1236" customFormat="1" ht="25.8" customHeight="1">
      <c r="A3" s="2471" t="s">
        <v>366</v>
      </c>
      <c r="B3" s="2431"/>
      <c r="C3" s="2047">
        <f>SUM(E3:L3)</f>
        <v>3774</v>
      </c>
      <c r="D3" s="2048" t="s">
        <v>452</v>
      </c>
      <c r="E3" s="2049">
        <v>279</v>
      </c>
      <c r="F3" s="2049">
        <v>175</v>
      </c>
      <c r="G3" s="2049">
        <v>243</v>
      </c>
      <c r="H3" s="2049">
        <v>281</v>
      </c>
      <c r="I3" s="2049">
        <v>415</v>
      </c>
      <c r="J3" s="2049">
        <v>484</v>
      </c>
      <c r="K3" s="2049">
        <v>354</v>
      </c>
      <c r="L3" s="2050">
        <v>1543</v>
      </c>
      <c r="N3" s="2033"/>
    </row>
    <row r="4" spans="1:15" s="1236" customFormat="1" ht="25.8" customHeight="1">
      <c r="A4" s="2471" t="s">
        <v>43</v>
      </c>
      <c r="B4" s="2431"/>
      <c r="C4" s="2047">
        <f>SUM(E4:L4)</f>
        <v>2240</v>
      </c>
      <c r="D4" s="2048" t="s">
        <v>452</v>
      </c>
      <c r="E4" s="2049">
        <v>122</v>
      </c>
      <c r="F4" s="2049">
        <v>60</v>
      </c>
      <c r="G4" s="2049">
        <v>139</v>
      </c>
      <c r="H4" s="2049">
        <v>132</v>
      </c>
      <c r="I4" s="2049">
        <v>229</v>
      </c>
      <c r="J4" s="2049">
        <v>263</v>
      </c>
      <c r="K4" s="2049">
        <v>201</v>
      </c>
      <c r="L4" s="2050">
        <v>1094</v>
      </c>
      <c r="N4" s="2033"/>
    </row>
    <row r="5" spans="1:15" s="1236" customFormat="1" ht="25.8" customHeight="1">
      <c r="A5" s="2429" t="s">
        <v>3640</v>
      </c>
      <c r="B5" s="2007" t="s">
        <v>3641</v>
      </c>
      <c r="C5" s="2050">
        <f>C4-C3</f>
        <v>-1534</v>
      </c>
      <c r="D5" s="2051" t="s">
        <v>452</v>
      </c>
      <c r="E5" s="2049">
        <f t="shared" ref="E5:L5" si="0">E4-E3</f>
        <v>-157</v>
      </c>
      <c r="F5" s="2049">
        <f t="shared" si="0"/>
        <v>-115</v>
      </c>
      <c r="G5" s="2049">
        <f t="shared" si="0"/>
        <v>-104</v>
      </c>
      <c r="H5" s="2049">
        <f t="shared" si="0"/>
        <v>-149</v>
      </c>
      <c r="I5" s="2049">
        <f t="shared" si="0"/>
        <v>-186</v>
      </c>
      <c r="J5" s="2049">
        <f t="shared" si="0"/>
        <v>-221</v>
      </c>
      <c r="K5" s="2049">
        <f t="shared" si="0"/>
        <v>-153</v>
      </c>
      <c r="L5" s="2050">
        <f t="shared" si="0"/>
        <v>-449</v>
      </c>
    </row>
    <row r="6" spans="1:15" s="1236" customFormat="1" ht="25.8" customHeight="1">
      <c r="A6" s="2431"/>
      <c r="B6" s="2007" t="s">
        <v>3642</v>
      </c>
      <c r="C6" s="2052">
        <f>(C4-C3)/C3*100</f>
        <v>-40.646528881823002</v>
      </c>
      <c r="D6" s="2053" t="s">
        <v>281</v>
      </c>
      <c r="E6" s="2054">
        <f t="shared" ref="E6:L6" si="1">(E4-E3)/E3*100</f>
        <v>-56.272401433691755</v>
      </c>
      <c r="F6" s="2054">
        <f t="shared" si="1"/>
        <v>-65.714285714285708</v>
      </c>
      <c r="G6" s="2054">
        <f t="shared" si="1"/>
        <v>-42.798353909465021</v>
      </c>
      <c r="H6" s="2054">
        <f t="shared" si="1"/>
        <v>-53.024911032028463</v>
      </c>
      <c r="I6" s="2054">
        <f t="shared" si="1"/>
        <v>-44.819277108433738</v>
      </c>
      <c r="J6" s="2054">
        <f t="shared" si="1"/>
        <v>-45.661157024793383</v>
      </c>
      <c r="K6" s="2054">
        <f t="shared" si="1"/>
        <v>-43.220338983050851</v>
      </c>
      <c r="L6" s="2052">
        <f t="shared" si="1"/>
        <v>-29.099157485418015</v>
      </c>
    </row>
    <row r="7" spans="1:15" s="1236" customFormat="1" ht="25.8" customHeight="1">
      <c r="A7" s="2429" t="s">
        <v>3643</v>
      </c>
      <c r="B7" s="2007" t="s">
        <v>366</v>
      </c>
      <c r="C7" s="2052">
        <f>C3/$C$3*100</f>
        <v>100</v>
      </c>
      <c r="D7" s="2053" t="s">
        <v>281</v>
      </c>
      <c r="E7" s="2054">
        <f>E3/$C$3*100</f>
        <v>7.3926868044515111</v>
      </c>
      <c r="F7" s="2054">
        <f t="shared" ref="F7:L7" si="2">F3/$C$3*100</f>
        <v>4.6369899311075784</v>
      </c>
      <c r="G7" s="2054">
        <f t="shared" si="2"/>
        <v>6.4387917329093796</v>
      </c>
      <c r="H7" s="2054">
        <f t="shared" si="2"/>
        <v>7.4456809750927402</v>
      </c>
      <c r="I7" s="2054">
        <f t="shared" si="2"/>
        <v>10.996290408055113</v>
      </c>
      <c r="J7" s="2054">
        <f t="shared" si="2"/>
        <v>12.82458929517753</v>
      </c>
      <c r="K7" s="2054">
        <f t="shared" si="2"/>
        <v>9.3799682034976151</v>
      </c>
      <c r="L7" s="2052">
        <f t="shared" si="2"/>
        <v>40.885002649708532</v>
      </c>
      <c r="M7" s="2055"/>
    </row>
    <row r="8" spans="1:15" s="1236" customFormat="1" ht="25.8" customHeight="1" thickBot="1">
      <c r="A8" s="2447"/>
      <c r="B8" s="1728" t="s">
        <v>43</v>
      </c>
      <c r="C8" s="2056">
        <f>IFERROR(C4/$C$4*100,"")</f>
        <v>100</v>
      </c>
      <c r="D8" s="2057" t="s">
        <v>281</v>
      </c>
      <c r="E8" s="2058">
        <f t="shared" ref="E8:L8" si="3">IFERROR(E4/$C$4*100,"")</f>
        <v>5.4464285714285712</v>
      </c>
      <c r="F8" s="2058">
        <f t="shared" si="3"/>
        <v>2.6785714285714284</v>
      </c>
      <c r="G8" s="2058">
        <f t="shared" si="3"/>
        <v>6.2053571428571432</v>
      </c>
      <c r="H8" s="2058">
        <f t="shared" si="3"/>
        <v>5.8928571428571423</v>
      </c>
      <c r="I8" s="2058">
        <f t="shared" si="3"/>
        <v>10.223214285714285</v>
      </c>
      <c r="J8" s="2058">
        <f t="shared" si="3"/>
        <v>11.741071428571429</v>
      </c>
      <c r="K8" s="2058">
        <f t="shared" si="3"/>
        <v>8.9732142857142865</v>
      </c>
      <c r="L8" s="2056">
        <f t="shared" si="3"/>
        <v>48.839285714285715</v>
      </c>
      <c r="M8" s="2055"/>
    </row>
    <row r="9" spans="1:15" ht="16.2" customHeight="1">
      <c r="A9" s="1236" t="s">
        <v>3644</v>
      </c>
    </row>
    <row r="10" spans="1:15" ht="16.2" customHeight="1">
      <c r="A10" s="1236" t="s">
        <v>3672</v>
      </c>
    </row>
    <row r="13" spans="1:15">
      <c r="F13" s="2059"/>
    </row>
    <row r="15" spans="1:15">
      <c r="E15" s="1236"/>
      <c r="F15" s="1236"/>
      <c r="G15" s="1236"/>
      <c r="H15" s="1236"/>
      <c r="I15" s="1236"/>
      <c r="J15" s="1236"/>
      <c r="K15" s="1236"/>
      <c r="L15" s="1236"/>
      <c r="M15" s="1236"/>
      <c r="N15" s="1236"/>
      <c r="O15" s="1236"/>
    </row>
  </sheetData>
  <mergeCells count="6">
    <mergeCell ref="A7:A8"/>
    <mergeCell ref="A2:B2"/>
    <mergeCell ref="C2:D2"/>
    <mergeCell ref="A3:B3"/>
    <mergeCell ref="A4:B4"/>
    <mergeCell ref="A5:A6"/>
  </mergeCells>
  <phoneticPr fontId="4"/>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E2DC8-7584-4377-91D6-DA967C071808}">
  <sheetPr codeName="Sheet101"/>
  <dimension ref="A1:M21"/>
  <sheetViews>
    <sheetView workbookViewId="0"/>
  </sheetViews>
  <sheetFormatPr defaultRowHeight="13.2"/>
  <cols>
    <col min="1" max="1" width="5.69921875" style="1343" customWidth="1"/>
    <col min="2" max="13" width="6" style="1343" customWidth="1"/>
    <col min="14" max="256" width="8.796875" style="1343"/>
    <col min="257" max="257" width="5.69921875" style="1343" customWidth="1"/>
    <col min="258" max="269" width="6" style="1343" customWidth="1"/>
    <col min="270" max="512" width="8.796875" style="1343"/>
    <col min="513" max="513" width="5.69921875" style="1343" customWidth="1"/>
    <col min="514" max="525" width="6" style="1343" customWidth="1"/>
    <col min="526" max="768" width="8.796875" style="1343"/>
    <col min="769" max="769" width="5.69921875" style="1343" customWidth="1"/>
    <col min="770" max="781" width="6" style="1343" customWidth="1"/>
    <col min="782" max="1024" width="8.796875" style="1343"/>
    <col min="1025" max="1025" width="5.69921875" style="1343" customWidth="1"/>
    <col min="1026" max="1037" width="6" style="1343" customWidth="1"/>
    <col min="1038" max="1280" width="8.796875" style="1343"/>
    <col min="1281" max="1281" width="5.69921875" style="1343" customWidth="1"/>
    <col min="1282" max="1293" width="6" style="1343" customWidth="1"/>
    <col min="1294" max="1536" width="8.796875" style="1343"/>
    <col min="1537" max="1537" width="5.69921875" style="1343" customWidth="1"/>
    <col min="1538" max="1549" width="6" style="1343" customWidth="1"/>
    <col min="1550" max="1792" width="8.796875" style="1343"/>
    <col min="1793" max="1793" width="5.69921875" style="1343" customWidth="1"/>
    <col min="1794" max="1805" width="6" style="1343" customWidth="1"/>
    <col min="1806" max="2048" width="8.796875" style="1343"/>
    <col min="2049" max="2049" width="5.69921875" style="1343" customWidth="1"/>
    <col min="2050" max="2061" width="6" style="1343" customWidth="1"/>
    <col min="2062" max="2304" width="8.796875" style="1343"/>
    <col min="2305" max="2305" width="5.69921875" style="1343" customWidth="1"/>
    <col min="2306" max="2317" width="6" style="1343" customWidth="1"/>
    <col min="2318" max="2560" width="8.796875" style="1343"/>
    <col min="2561" max="2561" width="5.69921875" style="1343" customWidth="1"/>
    <col min="2562" max="2573" width="6" style="1343" customWidth="1"/>
    <col min="2574" max="2816" width="8.796875" style="1343"/>
    <col min="2817" max="2817" width="5.69921875" style="1343" customWidth="1"/>
    <col min="2818" max="2829" width="6" style="1343" customWidth="1"/>
    <col min="2830" max="3072" width="8.796875" style="1343"/>
    <col min="3073" max="3073" width="5.69921875" style="1343" customWidth="1"/>
    <col min="3074" max="3085" width="6" style="1343" customWidth="1"/>
    <col min="3086" max="3328" width="8.796875" style="1343"/>
    <col min="3329" max="3329" width="5.69921875" style="1343" customWidth="1"/>
    <col min="3330" max="3341" width="6" style="1343" customWidth="1"/>
    <col min="3342" max="3584" width="8.796875" style="1343"/>
    <col min="3585" max="3585" width="5.69921875" style="1343" customWidth="1"/>
    <col min="3586" max="3597" width="6" style="1343" customWidth="1"/>
    <col min="3598" max="3840" width="8.796875" style="1343"/>
    <col min="3841" max="3841" width="5.69921875" style="1343" customWidth="1"/>
    <col min="3842" max="3853" width="6" style="1343" customWidth="1"/>
    <col min="3854" max="4096" width="8.796875" style="1343"/>
    <col min="4097" max="4097" width="5.69921875" style="1343" customWidth="1"/>
    <col min="4098" max="4109" width="6" style="1343" customWidth="1"/>
    <col min="4110" max="4352" width="8.796875" style="1343"/>
    <col min="4353" max="4353" width="5.69921875" style="1343" customWidth="1"/>
    <col min="4354" max="4365" width="6" style="1343" customWidth="1"/>
    <col min="4366" max="4608" width="8.796875" style="1343"/>
    <col min="4609" max="4609" width="5.69921875" style="1343" customWidth="1"/>
    <col min="4610" max="4621" width="6" style="1343" customWidth="1"/>
    <col min="4622" max="4864" width="8.796875" style="1343"/>
    <col min="4865" max="4865" width="5.69921875" style="1343" customWidth="1"/>
    <col min="4866" max="4877" width="6" style="1343" customWidth="1"/>
    <col min="4878" max="5120" width="8.796875" style="1343"/>
    <col min="5121" max="5121" width="5.69921875" style="1343" customWidth="1"/>
    <col min="5122" max="5133" width="6" style="1343" customWidth="1"/>
    <col min="5134" max="5376" width="8.796875" style="1343"/>
    <col min="5377" max="5377" width="5.69921875" style="1343" customWidth="1"/>
    <col min="5378" max="5389" width="6" style="1343" customWidth="1"/>
    <col min="5390" max="5632" width="8.796875" style="1343"/>
    <col min="5633" max="5633" width="5.69921875" style="1343" customWidth="1"/>
    <col min="5634" max="5645" width="6" style="1343" customWidth="1"/>
    <col min="5646" max="5888" width="8.796875" style="1343"/>
    <col min="5889" max="5889" width="5.69921875" style="1343" customWidth="1"/>
    <col min="5890" max="5901" width="6" style="1343" customWidth="1"/>
    <col min="5902" max="6144" width="8.796875" style="1343"/>
    <col min="6145" max="6145" width="5.69921875" style="1343" customWidth="1"/>
    <col min="6146" max="6157" width="6" style="1343" customWidth="1"/>
    <col min="6158" max="6400" width="8.796875" style="1343"/>
    <col min="6401" max="6401" width="5.69921875" style="1343" customWidth="1"/>
    <col min="6402" max="6413" width="6" style="1343" customWidth="1"/>
    <col min="6414" max="6656" width="8.796875" style="1343"/>
    <col min="6657" max="6657" width="5.69921875" style="1343" customWidth="1"/>
    <col min="6658" max="6669" width="6" style="1343" customWidth="1"/>
    <col min="6670" max="6912" width="8.796875" style="1343"/>
    <col min="6913" max="6913" width="5.69921875" style="1343" customWidth="1"/>
    <col min="6914" max="6925" width="6" style="1343" customWidth="1"/>
    <col min="6926" max="7168" width="8.796875" style="1343"/>
    <col min="7169" max="7169" width="5.69921875" style="1343" customWidth="1"/>
    <col min="7170" max="7181" width="6" style="1343" customWidth="1"/>
    <col min="7182" max="7424" width="8.796875" style="1343"/>
    <col min="7425" max="7425" width="5.69921875" style="1343" customWidth="1"/>
    <col min="7426" max="7437" width="6" style="1343" customWidth="1"/>
    <col min="7438" max="7680" width="8.796875" style="1343"/>
    <col min="7681" max="7681" width="5.69921875" style="1343" customWidth="1"/>
    <col min="7682" max="7693" width="6" style="1343" customWidth="1"/>
    <col min="7694" max="7936" width="8.796875" style="1343"/>
    <col min="7937" max="7937" width="5.69921875" style="1343" customWidth="1"/>
    <col min="7938" max="7949" width="6" style="1343" customWidth="1"/>
    <col min="7950" max="8192" width="8.796875" style="1343"/>
    <col min="8193" max="8193" width="5.69921875" style="1343" customWidth="1"/>
    <col min="8194" max="8205" width="6" style="1343" customWidth="1"/>
    <col min="8206" max="8448" width="8.796875" style="1343"/>
    <col min="8449" max="8449" width="5.69921875" style="1343" customWidth="1"/>
    <col min="8450" max="8461" width="6" style="1343" customWidth="1"/>
    <col min="8462" max="8704" width="8.796875" style="1343"/>
    <col min="8705" max="8705" width="5.69921875" style="1343" customWidth="1"/>
    <col min="8706" max="8717" width="6" style="1343" customWidth="1"/>
    <col min="8718" max="8960" width="8.796875" style="1343"/>
    <col min="8961" max="8961" width="5.69921875" style="1343" customWidth="1"/>
    <col min="8962" max="8973" width="6" style="1343" customWidth="1"/>
    <col min="8974" max="9216" width="8.796875" style="1343"/>
    <col min="9217" max="9217" width="5.69921875" style="1343" customWidth="1"/>
    <col min="9218" max="9229" width="6" style="1343" customWidth="1"/>
    <col min="9230" max="9472" width="8.796875" style="1343"/>
    <col min="9473" max="9473" width="5.69921875" style="1343" customWidth="1"/>
    <col min="9474" max="9485" width="6" style="1343" customWidth="1"/>
    <col min="9486" max="9728" width="8.796875" style="1343"/>
    <col min="9729" max="9729" width="5.69921875" style="1343" customWidth="1"/>
    <col min="9730" max="9741" width="6" style="1343" customWidth="1"/>
    <col min="9742" max="9984" width="8.796875" style="1343"/>
    <col min="9985" max="9985" width="5.69921875" style="1343" customWidth="1"/>
    <col min="9986" max="9997" width="6" style="1343" customWidth="1"/>
    <col min="9998" max="10240" width="8.796875" style="1343"/>
    <col min="10241" max="10241" width="5.69921875" style="1343" customWidth="1"/>
    <col min="10242" max="10253" width="6" style="1343" customWidth="1"/>
    <col min="10254" max="10496" width="8.796875" style="1343"/>
    <col min="10497" max="10497" width="5.69921875" style="1343" customWidth="1"/>
    <col min="10498" max="10509" width="6" style="1343" customWidth="1"/>
    <col min="10510" max="10752" width="8.796875" style="1343"/>
    <col min="10753" max="10753" width="5.69921875" style="1343" customWidth="1"/>
    <col min="10754" max="10765" width="6" style="1343" customWidth="1"/>
    <col min="10766" max="11008" width="8.796875" style="1343"/>
    <col min="11009" max="11009" width="5.69921875" style="1343" customWidth="1"/>
    <col min="11010" max="11021" width="6" style="1343" customWidth="1"/>
    <col min="11022" max="11264" width="8.796875" style="1343"/>
    <col min="11265" max="11265" width="5.69921875" style="1343" customWidth="1"/>
    <col min="11266" max="11277" width="6" style="1343" customWidth="1"/>
    <col min="11278" max="11520" width="8.796875" style="1343"/>
    <col min="11521" max="11521" width="5.69921875" style="1343" customWidth="1"/>
    <col min="11522" max="11533" width="6" style="1343" customWidth="1"/>
    <col min="11534" max="11776" width="8.796875" style="1343"/>
    <col min="11777" max="11777" width="5.69921875" style="1343" customWidth="1"/>
    <col min="11778" max="11789" width="6" style="1343" customWidth="1"/>
    <col min="11790" max="12032" width="8.796875" style="1343"/>
    <col min="12033" max="12033" width="5.69921875" style="1343" customWidth="1"/>
    <col min="12034" max="12045" width="6" style="1343" customWidth="1"/>
    <col min="12046" max="12288" width="8.796875" style="1343"/>
    <col min="12289" max="12289" width="5.69921875" style="1343" customWidth="1"/>
    <col min="12290" max="12301" width="6" style="1343" customWidth="1"/>
    <col min="12302" max="12544" width="8.796875" style="1343"/>
    <col min="12545" max="12545" width="5.69921875" style="1343" customWidth="1"/>
    <col min="12546" max="12557" width="6" style="1343" customWidth="1"/>
    <col min="12558" max="12800" width="8.796875" style="1343"/>
    <col min="12801" max="12801" width="5.69921875" style="1343" customWidth="1"/>
    <col min="12802" max="12813" width="6" style="1343" customWidth="1"/>
    <col min="12814" max="13056" width="8.796875" style="1343"/>
    <col min="13057" max="13057" width="5.69921875" style="1343" customWidth="1"/>
    <col min="13058" max="13069" width="6" style="1343" customWidth="1"/>
    <col min="13070" max="13312" width="8.796875" style="1343"/>
    <col min="13313" max="13313" width="5.69921875" style="1343" customWidth="1"/>
    <col min="13314" max="13325" width="6" style="1343" customWidth="1"/>
    <col min="13326" max="13568" width="8.796875" style="1343"/>
    <col min="13569" max="13569" width="5.69921875" style="1343" customWidth="1"/>
    <col min="13570" max="13581" width="6" style="1343" customWidth="1"/>
    <col min="13582" max="13824" width="8.796875" style="1343"/>
    <col min="13825" max="13825" width="5.69921875" style="1343" customWidth="1"/>
    <col min="13826" max="13837" width="6" style="1343" customWidth="1"/>
    <col min="13838" max="14080" width="8.796875" style="1343"/>
    <col min="14081" max="14081" width="5.69921875" style="1343" customWidth="1"/>
    <col min="14082" max="14093" width="6" style="1343" customWidth="1"/>
    <col min="14094" max="14336" width="8.796875" style="1343"/>
    <col min="14337" max="14337" width="5.69921875" style="1343" customWidth="1"/>
    <col min="14338" max="14349" width="6" style="1343" customWidth="1"/>
    <col min="14350" max="14592" width="8.796875" style="1343"/>
    <col min="14593" max="14593" width="5.69921875" style="1343" customWidth="1"/>
    <col min="14594" max="14605" width="6" style="1343" customWidth="1"/>
    <col min="14606" max="14848" width="8.796875" style="1343"/>
    <col min="14849" max="14849" width="5.69921875" style="1343" customWidth="1"/>
    <col min="14850" max="14861" width="6" style="1343" customWidth="1"/>
    <col min="14862" max="15104" width="8.796875" style="1343"/>
    <col min="15105" max="15105" width="5.69921875" style="1343" customWidth="1"/>
    <col min="15106" max="15117" width="6" style="1343" customWidth="1"/>
    <col min="15118" max="15360" width="8.796875" style="1343"/>
    <col min="15361" max="15361" width="5.69921875" style="1343" customWidth="1"/>
    <col min="15362" max="15373" width="6" style="1343" customWidth="1"/>
    <col min="15374" max="15616" width="8.796875" style="1343"/>
    <col min="15617" max="15617" width="5.69921875" style="1343" customWidth="1"/>
    <col min="15618" max="15629" width="6" style="1343" customWidth="1"/>
    <col min="15630" max="15872" width="8.796875" style="1343"/>
    <col min="15873" max="15873" width="5.69921875" style="1343" customWidth="1"/>
    <col min="15874" max="15885" width="6" style="1343" customWidth="1"/>
    <col min="15886" max="16128" width="8.796875" style="1343"/>
    <col min="16129" max="16129" width="5.69921875" style="1343" customWidth="1"/>
    <col min="16130" max="16141" width="6" style="1343" customWidth="1"/>
    <col min="16142" max="16384" width="8.796875" style="1343"/>
  </cols>
  <sheetData>
    <row r="1" spans="1:13" ht="30" customHeight="1" thickBot="1">
      <c r="A1" s="1995" t="s">
        <v>3645</v>
      </c>
      <c r="B1" s="1995"/>
      <c r="C1" s="1995"/>
      <c r="D1" s="1995"/>
      <c r="E1" s="1995"/>
      <c r="F1" s="1995"/>
      <c r="M1" s="1998" t="s">
        <v>2692</v>
      </c>
    </row>
    <row r="2" spans="1:13" s="1993" customFormat="1" ht="10.8">
      <c r="A2" s="2469" t="s">
        <v>504</v>
      </c>
      <c r="B2" s="2473" t="s">
        <v>3646</v>
      </c>
      <c r="C2" s="2474"/>
      <c r="D2" s="2475"/>
      <c r="E2" s="2473" t="s">
        <v>3647</v>
      </c>
      <c r="F2" s="2474"/>
      <c r="G2" s="2475"/>
      <c r="H2" s="2387" t="s">
        <v>3648</v>
      </c>
      <c r="I2" s="2394"/>
      <c r="J2" s="2388"/>
      <c r="K2" s="2387" t="s">
        <v>3649</v>
      </c>
      <c r="L2" s="2394"/>
      <c r="M2" s="2394"/>
    </row>
    <row r="3" spans="1:13" s="1993" customFormat="1" ht="10.8">
      <c r="A3" s="2472"/>
      <c r="B3" s="1994" t="s">
        <v>316</v>
      </c>
      <c r="C3" s="1994" t="s">
        <v>319</v>
      </c>
      <c r="D3" s="1994" t="s">
        <v>43</v>
      </c>
      <c r="E3" s="1994" t="s">
        <v>316</v>
      </c>
      <c r="F3" s="1994" t="s">
        <v>319</v>
      </c>
      <c r="G3" s="1994" t="s">
        <v>43</v>
      </c>
      <c r="H3" s="1994" t="s">
        <v>316</v>
      </c>
      <c r="I3" s="1994" t="s">
        <v>319</v>
      </c>
      <c r="J3" s="1994" t="s">
        <v>43</v>
      </c>
      <c r="K3" s="1994" t="s">
        <v>316</v>
      </c>
      <c r="L3" s="1994" t="s">
        <v>319</v>
      </c>
      <c r="M3" s="1994" t="s">
        <v>43</v>
      </c>
    </row>
    <row r="4" spans="1:13" s="1993" customFormat="1" ht="10.8">
      <c r="A4" s="1460"/>
      <c r="B4" s="1462" t="s">
        <v>3650</v>
      </c>
      <c r="C4" s="1466" t="s">
        <v>3650</v>
      </c>
      <c r="D4" s="1466" t="s">
        <v>3650</v>
      </c>
      <c r="E4" s="1462" t="s">
        <v>3650</v>
      </c>
      <c r="F4" s="1462" t="s">
        <v>3650</v>
      </c>
      <c r="G4" s="1466" t="s">
        <v>3650</v>
      </c>
      <c r="H4" s="1462" t="s">
        <v>3650</v>
      </c>
      <c r="I4" s="1462" t="s">
        <v>3650</v>
      </c>
      <c r="J4" s="1466" t="s">
        <v>3650</v>
      </c>
      <c r="K4" s="1464" t="s">
        <v>3651</v>
      </c>
      <c r="L4" s="1464" t="s">
        <v>3651</v>
      </c>
      <c r="M4" s="1259" t="s">
        <v>3652</v>
      </c>
    </row>
    <row r="5" spans="1:13" s="1993" customFormat="1" ht="19.8" customHeight="1">
      <c r="A5" s="1996" t="s">
        <v>378</v>
      </c>
      <c r="B5" s="2034">
        <v>171</v>
      </c>
      <c r="C5" s="606">
        <v>150</v>
      </c>
      <c r="D5" s="606" t="s">
        <v>3676</v>
      </c>
      <c r="E5" s="1988" t="s">
        <v>431</v>
      </c>
      <c r="F5" s="606" t="s">
        <v>305</v>
      </c>
      <c r="G5" s="606" t="s">
        <v>305</v>
      </c>
      <c r="H5" s="605" t="s">
        <v>2789</v>
      </c>
      <c r="I5" s="606" t="s">
        <v>2789</v>
      </c>
      <c r="J5" s="606" t="s">
        <v>2789</v>
      </c>
      <c r="K5" s="228" t="s">
        <v>2789</v>
      </c>
      <c r="L5" s="939" t="s">
        <v>2789</v>
      </c>
      <c r="M5" s="939" t="s">
        <v>2789</v>
      </c>
    </row>
    <row r="6" spans="1:13" s="1993" customFormat="1" ht="19.8" customHeight="1">
      <c r="A6" s="1996" t="s">
        <v>3609</v>
      </c>
      <c r="B6" s="606" t="s">
        <v>431</v>
      </c>
      <c r="C6" s="606" t="s">
        <v>305</v>
      </c>
      <c r="D6" s="606" t="s">
        <v>305</v>
      </c>
      <c r="E6" s="606" t="s">
        <v>431</v>
      </c>
      <c r="F6" s="606" t="s">
        <v>305</v>
      </c>
      <c r="G6" s="606" t="s">
        <v>305</v>
      </c>
      <c r="H6" s="606" t="s">
        <v>431</v>
      </c>
      <c r="I6" s="606" t="s">
        <v>2789</v>
      </c>
      <c r="J6" s="606" t="s">
        <v>431</v>
      </c>
      <c r="K6" s="939" t="s">
        <v>431</v>
      </c>
      <c r="L6" s="939" t="s">
        <v>431</v>
      </c>
      <c r="M6" s="939" t="s">
        <v>431</v>
      </c>
    </row>
    <row r="7" spans="1:13" s="1993" customFormat="1" ht="19.8" customHeight="1">
      <c r="A7" s="1996" t="s">
        <v>202</v>
      </c>
      <c r="B7" s="606" t="s">
        <v>431</v>
      </c>
      <c r="C7" s="606" t="s">
        <v>305</v>
      </c>
      <c r="D7" s="606" t="s">
        <v>305</v>
      </c>
      <c r="E7" s="606" t="s">
        <v>431</v>
      </c>
      <c r="F7" s="606" t="s">
        <v>305</v>
      </c>
      <c r="G7" s="606" t="s">
        <v>305</v>
      </c>
      <c r="H7" s="1988" t="s">
        <v>431</v>
      </c>
      <c r="I7" s="606" t="s">
        <v>431</v>
      </c>
      <c r="J7" s="606" t="s">
        <v>431</v>
      </c>
      <c r="K7" s="939" t="s">
        <v>431</v>
      </c>
      <c r="L7" s="939" t="s">
        <v>2789</v>
      </c>
      <c r="M7" s="939" t="s">
        <v>2789</v>
      </c>
    </row>
    <row r="8" spans="1:13" s="1993" customFormat="1" ht="19.8" customHeight="1">
      <c r="A8" s="1996" t="s">
        <v>3610</v>
      </c>
      <c r="B8" s="2034" t="s">
        <v>2789</v>
      </c>
      <c r="C8" s="606">
        <v>150</v>
      </c>
      <c r="D8" s="606" t="s">
        <v>3676</v>
      </c>
      <c r="E8" s="1988" t="s">
        <v>431</v>
      </c>
      <c r="F8" s="606" t="s">
        <v>305</v>
      </c>
      <c r="G8" s="606" t="s">
        <v>305</v>
      </c>
      <c r="H8" s="1988" t="s">
        <v>431</v>
      </c>
      <c r="I8" s="606" t="s">
        <v>2789</v>
      </c>
      <c r="J8" s="606" t="s">
        <v>2789</v>
      </c>
      <c r="K8" s="228" t="s">
        <v>2789</v>
      </c>
      <c r="L8" s="939" t="s">
        <v>2789</v>
      </c>
      <c r="M8" s="939" t="s">
        <v>2789</v>
      </c>
    </row>
    <row r="9" spans="1:13" s="1993" customFormat="1" ht="19.8" customHeight="1">
      <c r="A9" s="1996" t="s">
        <v>3653</v>
      </c>
      <c r="B9" s="2034" t="s">
        <v>2789</v>
      </c>
      <c r="C9" s="606" t="s">
        <v>305</v>
      </c>
      <c r="D9" s="606" t="s">
        <v>305</v>
      </c>
      <c r="E9" s="606" t="s">
        <v>431</v>
      </c>
      <c r="F9" s="606" t="s">
        <v>305</v>
      </c>
      <c r="G9" s="606" t="s">
        <v>305</v>
      </c>
      <c r="H9" s="1988" t="s">
        <v>2789</v>
      </c>
      <c r="I9" s="606" t="s">
        <v>2789</v>
      </c>
      <c r="J9" s="606" t="s">
        <v>2789</v>
      </c>
      <c r="K9" s="939" t="s">
        <v>431</v>
      </c>
      <c r="L9" s="939" t="s">
        <v>305</v>
      </c>
      <c r="M9" s="939" t="s">
        <v>305</v>
      </c>
    </row>
    <row r="10" spans="1:13" s="1993" customFormat="1" ht="19.8" customHeight="1">
      <c r="A10" s="1996" t="s">
        <v>205</v>
      </c>
      <c r="B10" s="606" t="s">
        <v>431</v>
      </c>
      <c r="C10" s="606" t="s">
        <v>305</v>
      </c>
      <c r="D10" s="606" t="s">
        <v>305</v>
      </c>
      <c r="E10" s="606" t="s">
        <v>431</v>
      </c>
      <c r="F10" s="606" t="s">
        <v>305</v>
      </c>
      <c r="G10" s="606" t="s">
        <v>305</v>
      </c>
      <c r="H10" s="606" t="s">
        <v>431</v>
      </c>
      <c r="I10" s="606" t="s">
        <v>305</v>
      </c>
      <c r="J10" s="606" t="s">
        <v>305</v>
      </c>
      <c r="K10" s="939" t="s">
        <v>431</v>
      </c>
      <c r="L10" s="939" t="s">
        <v>305</v>
      </c>
      <c r="M10" s="939" t="s">
        <v>305</v>
      </c>
    </row>
    <row r="11" spans="1:13" s="1993" customFormat="1" ht="19.8" customHeight="1" thickBot="1">
      <c r="A11" s="1997" t="s">
        <v>206</v>
      </c>
      <c r="B11" s="2035" t="s">
        <v>431</v>
      </c>
      <c r="C11" s="2035" t="s">
        <v>305</v>
      </c>
      <c r="D11" s="2035" t="s">
        <v>305</v>
      </c>
      <c r="E11" s="2035" t="s">
        <v>431</v>
      </c>
      <c r="F11" s="2035" t="s">
        <v>305</v>
      </c>
      <c r="G11" s="2035" t="s">
        <v>305</v>
      </c>
      <c r="H11" s="2035" t="s">
        <v>431</v>
      </c>
      <c r="I11" s="2035" t="s">
        <v>305</v>
      </c>
      <c r="J11" s="2035" t="s">
        <v>305</v>
      </c>
      <c r="K11" s="2036" t="s">
        <v>431</v>
      </c>
      <c r="L11" s="2036" t="s">
        <v>305</v>
      </c>
      <c r="M11" s="2036" t="s">
        <v>305</v>
      </c>
    </row>
    <row r="12" spans="1:13" s="1993" customFormat="1" ht="16.8" customHeight="1">
      <c r="A12" s="1993" t="s">
        <v>2710</v>
      </c>
    </row>
    <row r="16" spans="1:13">
      <c r="E16" s="1380"/>
    </row>
    <row r="17" spans="5:5">
      <c r="E17" s="1380"/>
    </row>
    <row r="18" spans="5:5">
      <c r="E18" s="1380"/>
    </row>
    <row r="19" spans="5:5">
      <c r="E19" s="1380"/>
    </row>
    <row r="20" spans="5:5">
      <c r="E20" s="1380"/>
    </row>
    <row r="21" spans="5:5">
      <c r="E21" s="1380"/>
    </row>
  </sheetData>
  <mergeCells count="5">
    <mergeCell ref="A2:A3"/>
    <mergeCell ref="B2:D2"/>
    <mergeCell ref="E2:G2"/>
    <mergeCell ref="H2:J2"/>
    <mergeCell ref="K2:M2"/>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F6E31-96BC-4216-BC2B-095AA7C169A3}">
  <sheetPr codeName="Sheet13"/>
  <dimension ref="A1:E24"/>
  <sheetViews>
    <sheetView workbookViewId="0"/>
  </sheetViews>
  <sheetFormatPr defaultRowHeight="18"/>
  <cols>
    <col min="1" max="1" width="88.5" customWidth="1"/>
  </cols>
  <sheetData>
    <row r="1" spans="1:5" ht="22.2">
      <c r="A1" s="1100" t="s">
        <v>2345</v>
      </c>
    </row>
    <row r="2" spans="1:5" ht="18.600000000000001" thickBot="1">
      <c r="A2" s="696"/>
    </row>
    <row r="3" spans="1:5" ht="279.75" customHeight="1">
      <c r="A3" s="1101" t="s">
        <v>2347</v>
      </c>
      <c r="E3" s="1014"/>
    </row>
    <row r="4" spans="1:5" ht="298.5" customHeight="1">
      <c r="A4" s="1102" t="s">
        <v>2348</v>
      </c>
      <c r="E4" s="1014"/>
    </row>
    <row r="5" spans="1:5" ht="60" thickBot="1">
      <c r="A5" s="2147" t="s">
        <v>2346</v>
      </c>
      <c r="E5" s="1014"/>
    </row>
    <row r="6" spans="1:5">
      <c r="E6" s="1014"/>
    </row>
    <row r="7" spans="1:5">
      <c r="E7" s="1014"/>
    </row>
    <row r="8" spans="1:5">
      <c r="E8" s="1014"/>
    </row>
    <row r="9" spans="1:5">
      <c r="E9" s="1014"/>
    </row>
    <row r="10" spans="1:5">
      <c r="E10" s="1014"/>
    </row>
    <row r="11" spans="1:5">
      <c r="E11" s="1014"/>
    </row>
    <row r="12" spans="1:5">
      <c r="E12" s="1014"/>
    </row>
    <row r="13" spans="1:5">
      <c r="E13" s="1014"/>
    </row>
    <row r="14" spans="1:5">
      <c r="E14" s="1014"/>
    </row>
    <row r="15" spans="1:5">
      <c r="E15" s="1014"/>
    </row>
    <row r="16" spans="1:5">
      <c r="E16" s="1014"/>
    </row>
    <row r="17" spans="5:5">
      <c r="E17" s="1014"/>
    </row>
    <row r="18" spans="5:5">
      <c r="E18" s="1014"/>
    </row>
    <row r="19" spans="5:5">
      <c r="E19" s="1014"/>
    </row>
    <row r="20" spans="5:5">
      <c r="E20" s="1014"/>
    </row>
    <row r="21" spans="5:5">
      <c r="E21" s="1014"/>
    </row>
    <row r="22" spans="5:5">
      <c r="E22" s="1014"/>
    </row>
    <row r="23" spans="5:5">
      <c r="E23" s="1014"/>
    </row>
    <row r="24" spans="5:5">
      <c r="E24" s="1014"/>
    </row>
  </sheetData>
  <phoneticPr fontId="4"/>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75ED7-7095-4D1C-85B4-F6FB0716DD46}">
  <sheetPr codeName="Sheet103"/>
  <dimension ref="A1:M28"/>
  <sheetViews>
    <sheetView zoomScaleNormal="100" workbookViewId="0"/>
  </sheetViews>
  <sheetFormatPr defaultRowHeight="13.2"/>
  <cols>
    <col min="1" max="1" width="6.09765625" style="1343" bestFit="1" customWidth="1"/>
    <col min="2" max="13" width="6.3984375" style="1343" customWidth="1"/>
    <col min="14" max="256" width="8.796875" style="1343"/>
    <col min="257" max="257" width="6.09765625" style="1343" bestFit="1" customWidth="1"/>
    <col min="258" max="269" width="6.3984375" style="1343" customWidth="1"/>
    <col min="270" max="512" width="8.796875" style="1343"/>
    <col min="513" max="513" width="6.09765625" style="1343" bestFit="1" customWidth="1"/>
    <col min="514" max="525" width="6.3984375" style="1343" customWidth="1"/>
    <col min="526" max="768" width="8.796875" style="1343"/>
    <col min="769" max="769" width="6.09765625" style="1343" bestFit="1" customWidth="1"/>
    <col min="770" max="781" width="6.3984375" style="1343" customWidth="1"/>
    <col min="782" max="1024" width="8.796875" style="1343"/>
    <col min="1025" max="1025" width="6.09765625" style="1343" bestFit="1" customWidth="1"/>
    <col min="1026" max="1037" width="6.3984375" style="1343" customWidth="1"/>
    <col min="1038" max="1280" width="8.796875" style="1343"/>
    <col min="1281" max="1281" width="6.09765625" style="1343" bestFit="1" customWidth="1"/>
    <col min="1282" max="1293" width="6.3984375" style="1343" customWidth="1"/>
    <col min="1294" max="1536" width="8.796875" style="1343"/>
    <col min="1537" max="1537" width="6.09765625" style="1343" bestFit="1" customWidth="1"/>
    <col min="1538" max="1549" width="6.3984375" style="1343" customWidth="1"/>
    <col min="1550" max="1792" width="8.796875" style="1343"/>
    <col min="1793" max="1793" width="6.09765625" style="1343" bestFit="1" customWidth="1"/>
    <col min="1794" max="1805" width="6.3984375" style="1343" customWidth="1"/>
    <col min="1806" max="2048" width="8.796875" style="1343"/>
    <col min="2049" max="2049" width="6.09765625" style="1343" bestFit="1" customWidth="1"/>
    <col min="2050" max="2061" width="6.3984375" style="1343" customWidth="1"/>
    <col min="2062" max="2304" width="8.796875" style="1343"/>
    <col min="2305" max="2305" width="6.09765625" style="1343" bestFit="1" customWidth="1"/>
    <col min="2306" max="2317" width="6.3984375" style="1343" customWidth="1"/>
    <col min="2318" max="2560" width="8.796875" style="1343"/>
    <col min="2561" max="2561" width="6.09765625" style="1343" bestFit="1" customWidth="1"/>
    <col min="2562" max="2573" width="6.3984375" style="1343" customWidth="1"/>
    <col min="2574" max="2816" width="8.796875" style="1343"/>
    <col min="2817" max="2817" width="6.09765625" style="1343" bestFit="1" customWidth="1"/>
    <col min="2818" max="2829" width="6.3984375" style="1343" customWidth="1"/>
    <col min="2830" max="3072" width="8.796875" style="1343"/>
    <col min="3073" max="3073" width="6.09765625" style="1343" bestFit="1" customWidth="1"/>
    <col min="3074" max="3085" width="6.3984375" style="1343" customWidth="1"/>
    <col min="3086" max="3328" width="8.796875" style="1343"/>
    <col min="3329" max="3329" width="6.09765625" style="1343" bestFit="1" customWidth="1"/>
    <col min="3330" max="3341" width="6.3984375" style="1343" customWidth="1"/>
    <col min="3342" max="3584" width="8.796875" style="1343"/>
    <col min="3585" max="3585" width="6.09765625" style="1343" bestFit="1" customWidth="1"/>
    <col min="3586" max="3597" width="6.3984375" style="1343" customWidth="1"/>
    <col min="3598" max="3840" width="8.796875" style="1343"/>
    <col min="3841" max="3841" width="6.09765625" style="1343" bestFit="1" customWidth="1"/>
    <col min="3842" max="3853" width="6.3984375" style="1343" customWidth="1"/>
    <col min="3854" max="4096" width="8.796875" style="1343"/>
    <col min="4097" max="4097" width="6.09765625" style="1343" bestFit="1" customWidth="1"/>
    <col min="4098" max="4109" width="6.3984375" style="1343" customWidth="1"/>
    <col min="4110" max="4352" width="8.796875" style="1343"/>
    <col min="4353" max="4353" width="6.09765625" style="1343" bestFit="1" customWidth="1"/>
    <col min="4354" max="4365" width="6.3984375" style="1343" customWidth="1"/>
    <col min="4366" max="4608" width="8.796875" style="1343"/>
    <col min="4609" max="4609" width="6.09765625" style="1343" bestFit="1" customWidth="1"/>
    <col min="4610" max="4621" width="6.3984375" style="1343" customWidth="1"/>
    <col min="4622" max="4864" width="8.796875" style="1343"/>
    <col min="4865" max="4865" width="6.09765625" style="1343" bestFit="1" customWidth="1"/>
    <col min="4866" max="4877" width="6.3984375" style="1343" customWidth="1"/>
    <col min="4878" max="5120" width="8.796875" style="1343"/>
    <col min="5121" max="5121" width="6.09765625" style="1343" bestFit="1" customWidth="1"/>
    <col min="5122" max="5133" width="6.3984375" style="1343" customWidth="1"/>
    <col min="5134" max="5376" width="8.796875" style="1343"/>
    <col min="5377" max="5377" width="6.09765625" style="1343" bestFit="1" customWidth="1"/>
    <col min="5378" max="5389" width="6.3984375" style="1343" customWidth="1"/>
    <col min="5390" max="5632" width="8.796875" style="1343"/>
    <col min="5633" max="5633" width="6.09765625" style="1343" bestFit="1" customWidth="1"/>
    <col min="5634" max="5645" width="6.3984375" style="1343" customWidth="1"/>
    <col min="5646" max="5888" width="8.796875" style="1343"/>
    <col min="5889" max="5889" width="6.09765625" style="1343" bestFit="1" customWidth="1"/>
    <col min="5890" max="5901" width="6.3984375" style="1343" customWidth="1"/>
    <col min="5902" max="6144" width="8.796875" style="1343"/>
    <col min="6145" max="6145" width="6.09765625" style="1343" bestFit="1" customWidth="1"/>
    <col min="6146" max="6157" width="6.3984375" style="1343" customWidth="1"/>
    <col min="6158" max="6400" width="8.796875" style="1343"/>
    <col min="6401" max="6401" width="6.09765625" style="1343" bestFit="1" customWidth="1"/>
    <col min="6402" max="6413" width="6.3984375" style="1343" customWidth="1"/>
    <col min="6414" max="6656" width="8.796875" style="1343"/>
    <col min="6657" max="6657" width="6.09765625" style="1343" bestFit="1" customWidth="1"/>
    <col min="6658" max="6669" width="6.3984375" style="1343" customWidth="1"/>
    <col min="6670" max="6912" width="8.796875" style="1343"/>
    <col min="6913" max="6913" width="6.09765625" style="1343" bestFit="1" customWidth="1"/>
    <col min="6914" max="6925" width="6.3984375" style="1343" customWidth="1"/>
    <col min="6926" max="7168" width="8.796875" style="1343"/>
    <col min="7169" max="7169" width="6.09765625" style="1343" bestFit="1" customWidth="1"/>
    <col min="7170" max="7181" width="6.3984375" style="1343" customWidth="1"/>
    <col min="7182" max="7424" width="8.796875" style="1343"/>
    <col min="7425" max="7425" width="6.09765625" style="1343" bestFit="1" customWidth="1"/>
    <col min="7426" max="7437" width="6.3984375" style="1343" customWidth="1"/>
    <col min="7438" max="7680" width="8.796875" style="1343"/>
    <col min="7681" max="7681" width="6.09765625" style="1343" bestFit="1" customWidth="1"/>
    <col min="7682" max="7693" width="6.3984375" style="1343" customWidth="1"/>
    <col min="7694" max="7936" width="8.796875" style="1343"/>
    <col min="7937" max="7937" width="6.09765625" style="1343" bestFit="1" customWidth="1"/>
    <col min="7938" max="7949" width="6.3984375" style="1343" customWidth="1"/>
    <col min="7950" max="8192" width="8.796875" style="1343"/>
    <col min="8193" max="8193" width="6.09765625" style="1343" bestFit="1" customWidth="1"/>
    <col min="8194" max="8205" width="6.3984375" style="1343" customWidth="1"/>
    <col min="8206" max="8448" width="8.796875" style="1343"/>
    <col min="8449" max="8449" width="6.09765625" style="1343" bestFit="1" customWidth="1"/>
    <col min="8450" max="8461" width="6.3984375" style="1343" customWidth="1"/>
    <col min="8462" max="8704" width="8.796875" style="1343"/>
    <col min="8705" max="8705" width="6.09765625" style="1343" bestFit="1" customWidth="1"/>
    <col min="8706" max="8717" width="6.3984375" style="1343" customWidth="1"/>
    <col min="8718" max="8960" width="8.796875" style="1343"/>
    <col min="8961" max="8961" width="6.09765625" style="1343" bestFit="1" customWidth="1"/>
    <col min="8962" max="8973" width="6.3984375" style="1343" customWidth="1"/>
    <col min="8974" max="9216" width="8.796875" style="1343"/>
    <col min="9217" max="9217" width="6.09765625" style="1343" bestFit="1" customWidth="1"/>
    <col min="9218" max="9229" width="6.3984375" style="1343" customWidth="1"/>
    <col min="9230" max="9472" width="8.796875" style="1343"/>
    <col min="9473" max="9473" width="6.09765625" style="1343" bestFit="1" customWidth="1"/>
    <col min="9474" max="9485" width="6.3984375" style="1343" customWidth="1"/>
    <col min="9486" max="9728" width="8.796875" style="1343"/>
    <col min="9729" max="9729" width="6.09765625" style="1343" bestFit="1" customWidth="1"/>
    <col min="9730" max="9741" width="6.3984375" style="1343" customWidth="1"/>
    <col min="9742" max="9984" width="8.796875" style="1343"/>
    <col min="9985" max="9985" width="6.09765625" style="1343" bestFit="1" customWidth="1"/>
    <col min="9986" max="9997" width="6.3984375" style="1343" customWidth="1"/>
    <col min="9998" max="10240" width="8.796875" style="1343"/>
    <col min="10241" max="10241" width="6.09765625" style="1343" bestFit="1" customWidth="1"/>
    <col min="10242" max="10253" width="6.3984375" style="1343" customWidth="1"/>
    <col min="10254" max="10496" width="8.796875" style="1343"/>
    <col min="10497" max="10497" width="6.09765625" style="1343" bestFit="1" customWidth="1"/>
    <col min="10498" max="10509" width="6.3984375" style="1343" customWidth="1"/>
    <col min="10510" max="10752" width="8.796875" style="1343"/>
    <col min="10753" max="10753" width="6.09765625" style="1343" bestFit="1" customWidth="1"/>
    <col min="10754" max="10765" width="6.3984375" style="1343" customWidth="1"/>
    <col min="10766" max="11008" width="8.796875" style="1343"/>
    <col min="11009" max="11009" width="6.09765625" style="1343" bestFit="1" customWidth="1"/>
    <col min="11010" max="11021" width="6.3984375" style="1343" customWidth="1"/>
    <col min="11022" max="11264" width="8.796875" style="1343"/>
    <col min="11265" max="11265" width="6.09765625" style="1343" bestFit="1" customWidth="1"/>
    <col min="11266" max="11277" width="6.3984375" style="1343" customWidth="1"/>
    <col min="11278" max="11520" width="8.796875" style="1343"/>
    <col min="11521" max="11521" width="6.09765625" style="1343" bestFit="1" customWidth="1"/>
    <col min="11522" max="11533" width="6.3984375" style="1343" customWidth="1"/>
    <col min="11534" max="11776" width="8.796875" style="1343"/>
    <col min="11777" max="11777" width="6.09765625" style="1343" bestFit="1" customWidth="1"/>
    <col min="11778" max="11789" width="6.3984375" style="1343" customWidth="1"/>
    <col min="11790" max="12032" width="8.796875" style="1343"/>
    <col min="12033" max="12033" width="6.09765625" style="1343" bestFit="1" customWidth="1"/>
    <col min="12034" max="12045" width="6.3984375" style="1343" customWidth="1"/>
    <col min="12046" max="12288" width="8.796875" style="1343"/>
    <col min="12289" max="12289" width="6.09765625" style="1343" bestFit="1" customWidth="1"/>
    <col min="12290" max="12301" width="6.3984375" style="1343" customWidth="1"/>
    <col min="12302" max="12544" width="8.796875" style="1343"/>
    <col min="12545" max="12545" width="6.09765625" style="1343" bestFit="1" customWidth="1"/>
    <col min="12546" max="12557" width="6.3984375" style="1343" customWidth="1"/>
    <col min="12558" max="12800" width="8.796875" style="1343"/>
    <col min="12801" max="12801" width="6.09765625" style="1343" bestFit="1" customWidth="1"/>
    <col min="12802" max="12813" width="6.3984375" style="1343" customWidth="1"/>
    <col min="12814" max="13056" width="8.796875" style="1343"/>
    <col min="13057" max="13057" width="6.09765625" style="1343" bestFit="1" customWidth="1"/>
    <col min="13058" max="13069" width="6.3984375" style="1343" customWidth="1"/>
    <col min="13070" max="13312" width="8.796875" style="1343"/>
    <col min="13313" max="13313" width="6.09765625" style="1343" bestFit="1" customWidth="1"/>
    <col min="13314" max="13325" width="6.3984375" style="1343" customWidth="1"/>
    <col min="13326" max="13568" width="8.796875" style="1343"/>
    <col min="13569" max="13569" width="6.09765625" style="1343" bestFit="1" customWidth="1"/>
    <col min="13570" max="13581" width="6.3984375" style="1343" customWidth="1"/>
    <col min="13582" max="13824" width="8.796875" style="1343"/>
    <col min="13825" max="13825" width="6.09765625" style="1343" bestFit="1" customWidth="1"/>
    <col min="13826" max="13837" width="6.3984375" style="1343" customWidth="1"/>
    <col min="13838" max="14080" width="8.796875" style="1343"/>
    <col min="14081" max="14081" width="6.09765625" style="1343" bestFit="1" customWidth="1"/>
    <col min="14082" max="14093" width="6.3984375" style="1343" customWidth="1"/>
    <col min="14094" max="14336" width="8.796875" style="1343"/>
    <col min="14337" max="14337" width="6.09765625" style="1343" bestFit="1" customWidth="1"/>
    <col min="14338" max="14349" width="6.3984375" style="1343" customWidth="1"/>
    <col min="14350" max="14592" width="8.796875" style="1343"/>
    <col min="14593" max="14593" width="6.09765625" style="1343" bestFit="1" customWidth="1"/>
    <col min="14594" max="14605" width="6.3984375" style="1343" customWidth="1"/>
    <col min="14606" max="14848" width="8.796875" style="1343"/>
    <col min="14849" max="14849" width="6.09765625" style="1343" bestFit="1" customWidth="1"/>
    <col min="14850" max="14861" width="6.3984375" style="1343" customWidth="1"/>
    <col min="14862" max="15104" width="8.796875" style="1343"/>
    <col min="15105" max="15105" width="6.09765625" style="1343" bestFit="1" customWidth="1"/>
    <col min="15106" max="15117" width="6.3984375" style="1343" customWidth="1"/>
    <col min="15118" max="15360" width="8.796875" style="1343"/>
    <col min="15361" max="15361" width="6.09765625" style="1343" bestFit="1" customWidth="1"/>
    <col min="15362" max="15373" width="6.3984375" style="1343" customWidth="1"/>
    <col min="15374" max="15616" width="8.796875" style="1343"/>
    <col min="15617" max="15617" width="6.09765625" style="1343" bestFit="1" customWidth="1"/>
    <col min="15618" max="15629" width="6.3984375" style="1343" customWidth="1"/>
    <col min="15630" max="15872" width="8.796875" style="1343"/>
    <col min="15873" max="15873" width="6.09765625" style="1343" bestFit="1" customWidth="1"/>
    <col min="15874" max="15885" width="6.3984375" style="1343" customWidth="1"/>
    <col min="15886" max="16128" width="8.796875" style="1343"/>
    <col min="16129" max="16129" width="6.09765625" style="1343" bestFit="1" customWidth="1"/>
    <col min="16130" max="16141" width="6.3984375" style="1343" customWidth="1"/>
    <col min="16142" max="16384" width="8.796875" style="1343"/>
  </cols>
  <sheetData>
    <row r="1" spans="1:13" ht="30" customHeight="1" thickBot="1">
      <c r="A1" s="2141" t="s">
        <v>2712</v>
      </c>
      <c r="B1" s="2141"/>
      <c r="C1" s="2141"/>
      <c r="K1" s="2476" t="s">
        <v>2713</v>
      </c>
      <c r="L1" s="2476"/>
      <c r="M1" s="2476"/>
    </row>
    <row r="2" spans="1:13" s="1201" customFormat="1" ht="10.8">
      <c r="A2" s="2469" t="s">
        <v>2714</v>
      </c>
      <c r="B2" s="2387" t="s">
        <v>2715</v>
      </c>
      <c r="C2" s="2394"/>
      <c r="D2" s="2394"/>
      <c r="E2" s="2394"/>
      <c r="F2" s="2394"/>
      <c r="G2" s="2388"/>
      <c r="H2" s="2387" t="s">
        <v>2716</v>
      </c>
      <c r="I2" s="2394"/>
      <c r="J2" s="2394"/>
      <c r="K2" s="2394"/>
      <c r="L2" s="2394"/>
      <c r="M2" s="2394"/>
    </row>
    <row r="3" spans="1:13" s="1201" customFormat="1" ht="10.8">
      <c r="A3" s="2464"/>
      <c r="B3" s="2477" t="s">
        <v>859</v>
      </c>
      <c r="C3" s="1399" t="s">
        <v>2717</v>
      </c>
      <c r="D3" s="1399" t="s">
        <v>2717</v>
      </c>
      <c r="E3" s="2477" t="s">
        <v>2718</v>
      </c>
      <c r="F3" s="2477" t="s">
        <v>2719</v>
      </c>
      <c r="G3" s="2477" t="s">
        <v>2720</v>
      </c>
      <c r="H3" s="2477" t="s">
        <v>859</v>
      </c>
      <c r="I3" s="1399" t="s">
        <v>2717</v>
      </c>
      <c r="J3" s="1399" t="s">
        <v>2717</v>
      </c>
      <c r="K3" s="2477" t="s">
        <v>2718</v>
      </c>
      <c r="L3" s="2477" t="s">
        <v>2719</v>
      </c>
      <c r="M3" s="2480" t="s">
        <v>2720</v>
      </c>
    </row>
    <row r="4" spans="1:13" s="1201" customFormat="1" ht="10.8">
      <c r="A4" s="2463"/>
      <c r="B4" s="2478"/>
      <c r="C4" s="1400" t="s">
        <v>2721</v>
      </c>
      <c r="D4" s="1400" t="s">
        <v>2722</v>
      </c>
      <c r="E4" s="2478"/>
      <c r="F4" s="2478"/>
      <c r="G4" s="2479"/>
      <c r="H4" s="2478"/>
      <c r="I4" s="1400" t="s">
        <v>2721</v>
      </c>
      <c r="J4" s="1400" t="s">
        <v>2722</v>
      </c>
      <c r="K4" s="2478"/>
      <c r="L4" s="2478"/>
      <c r="M4" s="2481"/>
    </row>
    <row r="5" spans="1:13" s="1201" customFormat="1" ht="16.8" customHeight="1">
      <c r="A5" s="1401" t="s">
        <v>235</v>
      </c>
      <c r="B5" s="1402">
        <v>157</v>
      </c>
      <c r="C5" s="1403">
        <v>15</v>
      </c>
      <c r="D5" s="1404" t="s">
        <v>812</v>
      </c>
      <c r="E5" s="1403">
        <v>4</v>
      </c>
      <c r="F5" s="1403">
        <v>35</v>
      </c>
      <c r="G5" s="1405">
        <v>103</v>
      </c>
      <c r="H5" s="1403">
        <v>5062</v>
      </c>
      <c r="I5" s="1403">
        <v>376</v>
      </c>
      <c r="J5" s="1404" t="s">
        <v>812</v>
      </c>
      <c r="K5" s="1403">
        <v>11</v>
      </c>
      <c r="L5" s="1403">
        <v>1241</v>
      </c>
      <c r="M5" s="1403">
        <v>3434</v>
      </c>
    </row>
    <row r="6" spans="1:13" s="1201" customFormat="1" ht="16.8" customHeight="1">
      <c r="A6" s="1401">
        <v>2</v>
      </c>
      <c r="B6" s="1402">
        <v>157</v>
      </c>
      <c r="C6" s="1403">
        <v>31</v>
      </c>
      <c r="D6" s="1404" t="s">
        <v>685</v>
      </c>
      <c r="E6" s="1403">
        <v>5</v>
      </c>
      <c r="F6" s="1403">
        <v>40</v>
      </c>
      <c r="G6" s="1405">
        <v>81</v>
      </c>
      <c r="H6" s="1403">
        <v>3873</v>
      </c>
      <c r="I6" s="1403">
        <v>656</v>
      </c>
      <c r="J6" s="1404" t="s">
        <v>812</v>
      </c>
      <c r="K6" s="1403">
        <v>8</v>
      </c>
      <c r="L6" s="1403">
        <v>583</v>
      </c>
      <c r="M6" s="1403">
        <v>2626</v>
      </c>
    </row>
    <row r="7" spans="1:13" s="1201" customFormat="1" ht="16.8" customHeight="1">
      <c r="A7" s="1401">
        <v>3</v>
      </c>
      <c r="B7" s="1402">
        <v>148</v>
      </c>
      <c r="C7" s="1403">
        <v>30</v>
      </c>
      <c r="D7" s="1404" t="s">
        <v>685</v>
      </c>
      <c r="E7" s="1403">
        <v>3</v>
      </c>
      <c r="F7" s="1403">
        <v>51</v>
      </c>
      <c r="G7" s="1405">
        <v>64</v>
      </c>
      <c r="H7" s="1403">
        <v>4636</v>
      </c>
      <c r="I7" s="1403">
        <v>776</v>
      </c>
      <c r="J7" s="1404" t="s">
        <v>812</v>
      </c>
      <c r="K7" s="1403">
        <v>9</v>
      </c>
      <c r="L7" s="1403">
        <v>616</v>
      </c>
      <c r="M7" s="1403">
        <v>3234</v>
      </c>
    </row>
    <row r="8" spans="1:13" s="1201" customFormat="1" ht="16.8" customHeight="1">
      <c r="A8" s="1406">
        <v>4</v>
      </c>
      <c r="B8" s="1402">
        <v>216</v>
      </c>
      <c r="C8" s="1403">
        <v>37</v>
      </c>
      <c r="D8" s="1404" t="s">
        <v>685</v>
      </c>
      <c r="E8" s="1403">
        <v>2</v>
      </c>
      <c r="F8" s="1403">
        <v>49</v>
      </c>
      <c r="G8" s="1405">
        <v>128</v>
      </c>
      <c r="H8" s="1403">
        <v>5248</v>
      </c>
      <c r="I8" s="1403">
        <v>600</v>
      </c>
      <c r="J8" s="1404" t="s">
        <v>685</v>
      </c>
      <c r="K8" s="1403">
        <v>1</v>
      </c>
      <c r="L8" s="1403">
        <v>709</v>
      </c>
      <c r="M8" s="1403">
        <v>3937</v>
      </c>
    </row>
    <row r="9" spans="1:13" s="1201" customFormat="1" ht="16.8" customHeight="1" thickBot="1">
      <c r="A9" s="1407">
        <v>5</v>
      </c>
      <c r="B9" s="1408">
        <v>240</v>
      </c>
      <c r="C9" s="1409">
        <v>50</v>
      </c>
      <c r="D9" s="1410" t="s">
        <v>685</v>
      </c>
      <c r="E9" s="1409">
        <v>3</v>
      </c>
      <c r="F9" s="1409">
        <v>31</v>
      </c>
      <c r="G9" s="1411">
        <v>156</v>
      </c>
      <c r="H9" s="1409">
        <v>13743</v>
      </c>
      <c r="I9" s="1409">
        <v>919</v>
      </c>
      <c r="J9" s="1410" t="s">
        <v>685</v>
      </c>
      <c r="K9" s="1409">
        <v>4</v>
      </c>
      <c r="L9" s="1409">
        <v>343</v>
      </c>
      <c r="M9" s="1409">
        <v>12477</v>
      </c>
    </row>
    <row r="10" spans="1:13" s="1201" customFormat="1" ht="11.4" thickBot="1">
      <c r="K10" s="1344" t="s">
        <v>2723</v>
      </c>
    </row>
    <row r="11" spans="1:13" s="1201" customFormat="1" ht="10.8">
      <c r="A11" s="2469" t="s">
        <v>2714</v>
      </c>
      <c r="B11" s="2482" t="s">
        <v>2724</v>
      </c>
      <c r="C11" s="2483"/>
      <c r="D11" s="2483"/>
      <c r="E11" s="2484"/>
      <c r="F11" s="2482" t="s">
        <v>35</v>
      </c>
      <c r="G11" s="2483"/>
      <c r="H11" s="2483"/>
      <c r="I11" s="2483"/>
      <c r="J11" s="2483"/>
      <c r="K11" s="2483"/>
    </row>
    <row r="12" spans="1:13" s="1201" customFormat="1" ht="10.8">
      <c r="A12" s="2464"/>
      <c r="B12" s="2461" t="s">
        <v>2725</v>
      </c>
      <c r="C12" s="2462"/>
      <c r="D12" s="2461" t="s">
        <v>2725</v>
      </c>
      <c r="E12" s="2462"/>
      <c r="F12" s="2461" t="s">
        <v>2725</v>
      </c>
      <c r="G12" s="2462"/>
      <c r="H12" s="2461" t="s">
        <v>2725</v>
      </c>
      <c r="I12" s="2462"/>
      <c r="J12" s="2461" t="s">
        <v>2726</v>
      </c>
      <c r="K12" s="2485"/>
    </row>
    <row r="13" spans="1:13" s="1201" customFormat="1" ht="10.8">
      <c r="A13" s="2463"/>
      <c r="B13" s="2459" t="s">
        <v>2721</v>
      </c>
      <c r="C13" s="2463"/>
      <c r="D13" s="2459" t="s">
        <v>2722</v>
      </c>
      <c r="E13" s="2463"/>
      <c r="F13" s="2459" t="s">
        <v>2721</v>
      </c>
      <c r="G13" s="2463"/>
      <c r="H13" s="2459" t="s">
        <v>2722</v>
      </c>
      <c r="I13" s="2463"/>
      <c r="J13" s="2459"/>
      <c r="K13" s="2468"/>
    </row>
    <row r="14" spans="1:13" ht="16.2" customHeight="1">
      <c r="A14" s="1401" t="s">
        <v>235</v>
      </c>
      <c r="B14" s="2486">
        <v>7</v>
      </c>
      <c r="C14" s="2486"/>
      <c r="D14" s="2486">
        <v>359</v>
      </c>
      <c r="E14" s="2486"/>
      <c r="F14" s="2486">
        <v>267</v>
      </c>
      <c r="G14" s="2486"/>
      <c r="H14" s="2486">
        <v>16092</v>
      </c>
      <c r="I14" s="2486"/>
      <c r="J14" s="2487" t="s">
        <v>812</v>
      </c>
      <c r="K14" s="2488"/>
    </row>
    <row r="15" spans="1:13" ht="16.2" customHeight="1">
      <c r="A15" s="1406">
        <v>2</v>
      </c>
      <c r="B15" s="2486">
        <v>8</v>
      </c>
      <c r="C15" s="2486"/>
      <c r="D15" s="2486">
        <v>345</v>
      </c>
      <c r="E15" s="2486"/>
      <c r="F15" s="2486">
        <v>299</v>
      </c>
      <c r="G15" s="2486"/>
      <c r="H15" s="2486">
        <v>13441</v>
      </c>
      <c r="I15" s="2486"/>
      <c r="J15" s="2487" t="s">
        <v>812</v>
      </c>
      <c r="K15" s="2488"/>
    </row>
    <row r="16" spans="1:13" ht="16.2" customHeight="1">
      <c r="A16" s="1406">
        <v>3</v>
      </c>
      <c r="B16" s="2486">
        <v>14</v>
      </c>
      <c r="C16" s="2486"/>
      <c r="D16" s="2486">
        <v>382</v>
      </c>
      <c r="E16" s="2486"/>
      <c r="F16" s="2486">
        <v>365</v>
      </c>
      <c r="G16" s="2486"/>
      <c r="H16" s="2486">
        <v>19939</v>
      </c>
      <c r="I16" s="2486"/>
      <c r="J16" s="2487" t="s">
        <v>812</v>
      </c>
      <c r="K16" s="2488"/>
    </row>
    <row r="17" spans="1:11" ht="16.2" customHeight="1">
      <c r="A17" s="1406">
        <v>4</v>
      </c>
      <c r="B17" s="2489">
        <v>7</v>
      </c>
      <c r="C17" s="2490"/>
      <c r="D17" s="2489">
        <v>619</v>
      </c>
      <c r="E17" s="2490"/>
      <c r="F17" s="2489">
        <v>497</v>
      </c>
      <c r="G17" s="2490"/>
      <c r="H17" s="2489">
        <v>15683</v>
      </c>
      <c r="I17" s="2490"/>
      <c r="J17" s="2487" t="s">
        <v>685</v>
      </c>
      <c r="K17" s="2488"/>
    </row>
    <row r="18" spans="1:11" ht="16.2" customHeight="1" thickBot="1">
      <c r="A18" s="1407">
        <v>5</v>
      </c>
      <c r="B18" s="2491">
        <v>7</v>
      </c>
      <c r="C18" s="2492"/>
      <c r="D18" s="2491">
        <v>477</v>
      </c>
      <c r="E18" s="2492"/>
      <c r="F18" s="2491">
        <v>548</v>
      </c>
      <c r="G18" s="2492"/>
      <c r="H18" s="2491">
        <v>32287</v>
      </c>
      <c r="I18" s="2492"/>
      <c r="J18" s="2493" t="s">
        <v>685</v>
      </c>
      <c r="K18" s="2494"/>
    </row>
    <row r="19" spans="1:11">
      <c r="A19" s="1412" t="s">
        <v>2727</v>
      </c>
      <c r="B19" s="1412"/>
      <c r="C19" s="1412"/>
      <c r="D19" s="1412"/>
      <c r="E19" s="1412"/>
      <c r="F19" s="1412"/>
    </row>
    <row r="20" spans="1:11">
      <c r="A20" s="1412" t="s">
        <v>2728</v>
      </c>
      <c r="B20" s="1412" t="s">
        <v>2729</v>
      </c>
      <c r="D20" s="1412" t="s">
        <v>2730</v>
      </c>
      <c r="E20" s="1412"/>
      <c r="F20" s="1412"/>
    </row>
    <row r="21" spans="1:11">
      <c r="A21" s="1412"/>
      <c r="B21" s="1412"/>
      <c r="D21" s="1412" t="s">
        <v>2731</v>
      </c>
      <c r="E21" s="1412"/>
      <c r="F21" s="1412"/>
    </row>
    <row r="22" spans="1:11">
      <c r="A22" s="1412"/>
      <c r="B22" s="1412"/>
      <c r="D22" s="1412" t="s">
        <v>2732</v>
      </c>
      <c r="E22" s="1412"/>
      <c r="F22" s="1412"/>
    </row>
    <row r="23" spans="1:11">
      <c r="A23" s="1412"/>
      <c r="B23" s="1412"/>
      <c r="D23" s="1412" t="s">
        <v>2733</v>
      </c>
      <c r="E23" s="1412"/>
      <c r="F23" s="1412"/>
    </row>
    <row r="24" spans="1:11">
      <c r="A24" s="1412"/>
      <c r="B24" s="1412"/>
      <c r="D24" s="1412" t="s">
        <v>2734</v>
      </c>
      <c r="E24" s="1412"/>
      <c r="F24" s="1412"/>
    </row>
    <row r="25" spans="1:11">
      <c r="A25" s="1412"/>
      <c r="B25" s="1412"/>
      <c r="D25" s="1412"/>
      <c r="E25" s="1412"/>
      <c r="F25" s="1201"/>
    </row>
    <row r="26" spans="1:11">
      <c r="A26" s="1201"/>
      <c r="B26" s="1201" t="s">
        <v>2735</v>
      </c>
      <c r="D26" s="1201"/>
      <c r="E26" s="1201"/>
      <c r="F26" s="1201"/>
    </row>
    <row r="27" spans="1:11">
      <c r="A27" s="1201"/>
      <c r="B27" s="1201"/>
      <c r="D27" s="1201" t="s">
        <v>2736</v>
      </c>
      <c r="E27" s="1201"/>
      <c r="F27" s="1201"/>
    </row>
    <row r="28" spans="1:11">
      <c r="A28" s="1201"/>
      <c r="B28" s="1201"/>
      <c r="D28" s="1201" t="s">
        <v>2737</v>
      </c>
      <c r="E28" s="1201"/>
      <c r="F28" s="1201"/>
    </row>
  </sheetData>
  <mergeCells count="50">
    <mergeCell ref="B18:C18"/>
    <mergeCell ref="D18:E18"/>
    <mergeCell ref="F18:G18"/>
    <mergeCell ref="H18:I18"/>
    <mergeCell ref="J18:K18"/>
    <mergeCell ref="B16:C16"/>
    <mergeCell ref="D16:E16"/>
    <mergeCell ref="F16:G16"/>
    <mergeCell ref="H16:I16"/>
    <mergeCell ref="J16:K16"/>
    <mergeCell ref="B17:C17"/>
    <mergeCell ref="D17:E17"/>
    <mergeCell ref="F17:G17"/>
    <mergeCell ref="H17:I17"/>
    <mergeCell ref="J17:K17"/>
    <mergeCell ref="B14:C14"/>
    <mergeCell ref="D14:E14"/>
    <mergeCell ref="F14:G14"/>
    <mergeCell ref="H14:I14"/>
    <mergeCell ref="J14:K14"/>
    <mergeCell ref="B15:C15"/>
    <mergeCell ref="D15:E15"/>
    <mergeCell ref="F15:G15"/>
    <mergeCell ref="H15:I15"/>
    <mergeCell ref="J15:K15"/>
    <mergeCell ref="A11:A13"/>
    <mergeCell ref="B11:E11"/>
    <mergeCell ref="F11:K11"/>
    <mergeCell ref="B12:C12"/>
    <mergeCell ref="D12:E12"/>
    <mergeCell ref="F12:G12"/>
    <mergeCell ref="H12:I12"/>
    <mergeCell ref="J12:K12"/>
    <mergeCell ref="B13:C13"/>
    <mergeCell ref="D13:E13"/>
    <mergeCell ref="F13:G13"/>
    <mergeCell ref="H13:I13"/>
    <mergeCell ref="J13:K13"/>
    <mergeCell ref="K1:M1"/>
    <mergeCell ref="A2:A4"/>
    <mergeCell ref="B2:G2"/>
    <mergeCell ref="H2:M2"/>
    <mergeCell ref="B3:B4"/>
    <mergeCell ref="E3:E4"/>
    <mergeCell ref="F3:F4"/>
    <mergeCell ref="G3:G4"/>
    <mergeCell ref="H3:H4"/>
    <mergeCell ref="K3:K4"/>
    <mergeCell ref="L3:L4"/>
    <mergeCell ref="M3:M4"/>
  </mergeCells>
  <phoneticPr fontId="4"/>
  <pageMargins left="0.7" right="0.7" top="0.75" bottom="0.75" header="0.3" footer="0.3"/>
  <pageSetup paperSize="9" scale="97"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4785-E72F-4EC2-BEE4-480DB79E04E2}">
  <sheetPr codeName="Sheet104"/>
  <dimension ref="A1:M6"/>
  <sheetViews>
    <sheetView workbookViewId="0"/>
  </sheetViews>
  <sheetFormatPr defaultRowHeight="13.2"/>
  <cols>
    <col min="1" max="12" width="6.3984375" style="1431" customWidth="1"/>
    <col min="13" max="13" width="6" style="1431" customWidth="1"/>
    <col min="14" max="256" width="8.796875" style="1431"/>
    <col min="257" max="268" width="6.3984375" style="1431" customWidth="1"/>
    <col min="269" max="269" width="6" style="1431" customWidth="1"/>
    <col min="270" max="512" width="8.796875" style="1431"/>
    <col min="513" max="524" width="6.3984375" style="1431" customWidth="1"/>
    <col min="525" max="525" width="6" style="1431" customWidth="1"/>
    <col min="526" max="768" width="8.796875" style="1431"/>
    <col min="769" max="780" width="6.3984375" style="1431" customWidth="1"/>
    <col min="781" max="781" width="6" style="1431" customWidth="1"/>
    <col min="782" max="1024" width="8.796875" style="1431"/>
    <col min="1025" max="1036" width="6.3984375" style="1431" customWidth="1"/>
    <col min="1037" max="1037" width="6" style="1431" customWidth="1"/>
    <col min="1038" max="1280" width="8.796875" style="1431"/>
    <col min="1281" max="1292" width="6.3984375" style="1431" customWidth="1"/>
    <col min="1293" max="1293" width="6" style="1431" customWidth="1"/>
    <col min="1294" max="1536" width="8.796875" style="1431"/>
    <col min="1537" max="1548" width="6.3984375" style="1431" customWidth="1"/>
    <col min="1549" max="1549" width="6" style="1431" customWidth="1"/>
    <col min="1550" max="1792" width="8.796875" style="1431"/>
    <col min="1793" max="1804" width="6.3984375" style="1431" customWidth="1"/>
    <col min="1805" max="1805" width="6" style="1431" customWidth="1"/>
    <col min="1806" max="2048" width="8.796875" style="1431"/>
    <col min="2049" max="2060" width="6.3984375" style="1431" customWidth="1"/>
    <col min="2061" max="2061" width="6" style="1431" customWidth="1"/>
    <col min="2062" max="2304" width="8.796875" style="1431"/>
    <col min="2305" max="2316" width="6.3984375" style="1431" customWidth="1"/>
    <col min="2317" max="2317" width="6" style="1431" customWidth="1"/>
    <col min="2318" max="2560" width="8.796875" style="1431"/>
    <col min="2561" max="2572" width="6.3984375" style="1431" customWidth="1"/>
    <col min="2573" max="2573" width="6" style="1431" customWidth="1"/>
    <col min="2574" max="2816" width="8.796875" style="1431"/>
    <col min="2817" max="2828" width="6.3984375" style="1431" customWidth="1"/>
    <col min="2829" max="2829" width="6" style="1431" customWidth="1"/>
    <col min="2830" max="3072" width="8.796875" style="1431"/>
    <col min="3073" max="3084" width="6.3984375" style="1431" customWidth="1"/>
    <col min="3085" max="3085" width="6" style="1431" customWidth="1"/>
    <col min="3086" max="3328" width="8.796875" style="1431"/>
    <col min="3329" max="3340" width="6.3984375" style="1431" customWidth="1"/>
    <col min="3341" max="3341" width="6" style="1431" customWidth="1"/>
    <col min="3342" max="3584" width="8.796875" style="1431"/>
    <col min="3585" max="3596" width="6.3984375" style="1431" customWidth="1"/>
    <col min="3597" max="3597" width="6" style="1431" customWidth="1"/>
    <col min="3598" max="3840" width="8.796875" style="1431"/>
    <col min="3841" max="3852" width="6.3984375" style="1431" customWidth="1"/>
    <col min="3853" max="3853" width="6" style="1431" customWidth="1"/>
    <col min="3854" max="4096" width="8.796875" style="1431"/>
    <col min="4097" max="4108" width="6.3984375" style="1431" customWidth="1"/>
    <col min="4109" max="4109" width="6" style="1431" customWidth="1"/>
    <col min="4110" max="4352" width="8.796875" style="1431"/>
    <col min="4353" max="4364" width="6.3984375" style="1431" customWidth="1"/>
    <col min="4365" max="4365" width="6" style="1431" customWidth="1"/>
    <col min="4366" max="4608" width="8.796875" style="1431"/>
    <col min="4609" max="4620" width="6.3984375" style="1431" customWidth="1"/>
    <col min="4621" max="4621" width="6" style="1431" customWidth="1"/>
    <col min="4622" max="4864" width="8.796875" style="1431"/>
    <col min="4865" max="4876" width="6.3984375" style="1431" customWidth="1"/>
    <col min="4877" max="4877" width="6" style="1431" customWidth="1"/>
    <col min="4878" max="5120" width="8.796875" style="1431"/>
    <col min="5121" max="5132" width="6.3984375" style="1431" customWidth="1"/>
    <col min="5133" max="5133" width="6" style="1431" customWidth="1"/>
    <col min="5134" max="5376" width="8.796875" style="1431"/>
    <col min="5377" max="5388" width="6.3984375" style="1431" customWidth="1"/>
    <col min="5389" max="5389" width="6" style="1431" customWidth="1"/>
    <col min="5390" max="5632" width="8.796875" style="1431"/>
    <col min="5633" max="5644" width="6.3984375" style="1431" customWidth="1"/>
    <col min="5645" max="5645" width="6" style="1431" customWidth="1"/>
    <col min="5646" max="5888" width="8.796875" style="1431"/>
    <col min="5889" max="5900" width="6.3984375" style="1431" customWidth="1"/>
    <col min="5901" max="5901" width="6" style="1431" customWidth="1"/>
    <col min="5902" max="6144" width="8.796875" style="1431"/>
    <col min="6145" max="6156" width="6.3984375" style="1431" customWidth="1"/>
    <col min="6157" max="6157" width="6" style="1431" customWidth="1"/>
    <col min="6158" max="6400" width="8.796875" style="1431"/>
    <col min="6401" max="6412" width="6.3984375" style="1431" customWidth="1"/>
    <col min="6413" max="6413" width="6" style="1431" customWidth="1"/>
    <col min="6414" max="6656" width="8.796875" style="1431"/>
    <col min="6657" max="6668" width="6.3984375" style="1431" customWidth="1"/>
    <col min="6669" max="6669" width="6" style="1431" customWidth="1"/>
    <col min="6670" max="6912" width="8.796875" style="1431"/>
    <col min="6913" max="6924" width="6.3984375" style="1431" customWidth="1"/>
    <col min="6925" max="6925" width="6" style="1431" customWidth="1"/>
    <col min="6926" max="7168" width="8.796875" style="1431"/>
    <col min="7169" max="7180" width="6.3984375" style="1431" customWidth="1"/>
    <col min="7181" max="7181" width="6" style="1431" customWidth="1"/>
    <col min="7182" max="7424" width="8.796875" style="1431"/>
    <col min="7425" max="7436" width="6.3984375" style="1431" customWidth="1"/>
    <col min="7437" max="7437" width="6" style="1431" customWidth="1"/>
    <col min="7438" max="7680" width="8.796875" style="1431"/>
    <col min="7681" max="7692" width="6.3984375" style="1431" customWidth="1"/>
    <col min="7693" max="7693" width="6" style="1431" customWidth="1"/>
    <col min="7694" max="7936" width="8.796875" style="1431"/>
    <col min="7937" max="7948" width="6.3984375" style="1431" customWidth="1"/>
    <col min="7949" max="7949" width="6" style="1431" customWidth="1"/>
    <col min="7950" max="8192" width="8.796875" style="1431"/>
    <col min="8193" max="8204" width="6.3984375" style="1431" customWidth="1"/>
    <col min="8205" max="8205" width="6" style="1431" customWidth="1"/>
    <col min="8206" max="8448" width="8.796875" style="1431"/>
    <col min="8449" max="8460" width="6.3984375" style="1431" customWidth="1"/>
    <col min="8461" max="8461" width="6" style="1431" customWidth="1"/>
    <col min="8462" max="8704" width="8.796875" style="1431"/>
    <col min="8705" max="8716" width="6.3984375" style="1431" customWidth="1"/>
    <col min="8717" max="8717" width="6" style="1431" customWidth="1"/>
    <col min="8718" max="8960" width="8.796875" style="1431"/>
    <col min="8961" max="8972" width="6.3984375" style="1431" customWidth="1"/>
    <col min="8973" max="8973" width="6" style="1431" customWidth="1"/>
    <col min="8974" max="9216" width="8.796875" style="1431"/>
    <col min="9217" max="9228" width="6.3984375" style="1431" customWidth="1"/>
    <col min="9229" max="9229" width="6" style="1431" customWidth="1"/>
    <col min="9230" max="9472" width="8.796875" style="1431"/>
    <col min="9473" max="9484" width="6.3984375" style="1431" customWidth="1"/>
    <col min="9485" max="9485" width="6" style="1431" customWidth="1"/>
    <col min="9486" max="9728" width="8.796875" style="1431"/>
    <col min="9729" max="9740" width="6.3984375" style="1431" customWidth="1"/>
    <col min="9741" max="9741" width="6" style="1431" customWidth="1"/>
    <col min="9742" max="9984" width="8.796875" style="1431"/>
    <col min="9985" max="9996" width="6.3984375" style="1431" customWidth="1"/>
    <col min="9997" max="9997" width="6" style="1431" customWidth="1"/>
    <col min="9998" max="10240" width="8.796875" style="1431"/>
    <col min="10241" max="10252" width="6.3984375" style="1431" customWidth="1"/>
    <col min="10253" max="10253" width="6" style="1431" customWidth="1"/>
    <col min="10254" max="10496" width="8.796875" style="1431"/>
    <col min="10497" max="10508" width="6.3984375" style="1431" customWidth="1"/>
    <col min="10509" max="10509" width="6" style="1431" customWidth="1"/>
    <col min="10510" max="10752" width="8.796875" style="1431"/>
    <col min="10753" max="10764" width="6.3984375" style="1431" customWidth="1"/>
    <col min="10765" max="10765" width="6" style="1431" customWidth="1"/>
    <col min="10766" max="11008" width="8.796875" style="1431"/>
    <col min="11009" max="11020" width="6.3984375" style="1431" customWidth="1"/>
    <col min="11021" max="11021" width="6" style="1431" customWidth="1"/>
    <col min="11022" max="11264" width="8.796875" style="1431"/>
    <col min="11265" max="11276" width="6.3984375" style="1431" customWidth="1"/>
    <col min="11277" max="11277" width="6" style="1431" customWidth="1"/>
    <col min="11278" max="11520" width="8.796875" style="1431"/>
    <col min="11521" max="11532" width="6.3984375" style="1431" customWidth="1"/>
    <col min="11533" max="11533" width="6" style="1431" customWidth="1"/>
    <col min="11534" max="11776" width="8.796875" style="1431"/>
    <col min="11777" max="11788" width="6.3984375" style="1431" customWidth="1"/>
    <col min="11789" max="11789" width="6" style="1431" customWidth="1"/>
    <col min="11790" max="12032" width="8.796875" style="1431"/>
    <col min="12033" max="12044" width="6.3984375" style="1431" customWidth="1"/>
    <col min="12045" max="12045" width="6" style="1431" customWidth="1"/>
    <col min="12046" max="12288" width="8.796875" style="1431"/>
    <col min="12289" max="12300" width="6.3984375" style="1431" customWidth="1"/>
    <col min="12301" max="12301" width="6" style="1431" customWidth="1"/>
    <col min="12302" max="12544" width="8.796875" style="1431"/>
    <col min="12545" max="12556" width="6.3984375" style="1431" customWidth="1"/>
    <col min="12557" max="12557" width="6" style="1431" customWidth="1"/>
    <col min="12558" max="12800" width="8.796875" style="1431"/>
    <col min="12801" max="12812" width="6.3984375" style="1431" customWidth="1"/>
    <col min="12813" max="12813" width="6" style="1431" customWidth="1"/>
    <col min="12814" max="13056" width="8.796875" style="1431"/>
    <col min="13057" max="13068" width="6.3984375" style="1431" customWidth="1"/>
    <col min="13069" max="13069" width="6" style="1431" customWidth="1"/>
    <col min="13070" max="13312" width="8.796875" style="1431"/>
    <col min="13313" max="13324" width="6.3984375" style="1431" customWidth="1"/>
    <col min="13325" max="13325" width="6" style="1431" customWidth="1"/>
    <col min="13326" max="13568" width="8.796875" style="1431"/>
    <col min="13569" max="13580" width="6.3984375" style="1431" customWidth="1"/>
    <col min="13581" max="13581" width="6" style="1431" customWidth="1"/>
    <col min="13582" max="13824" width="8.796875" style="1431"/>
    <col min="13825" max="13836" width="6.3984375" style="1431" customWidth="1"/>
    <col min="13837" max="13837" width="6" style="1431" customWidth="1"/>
    <col min="13838" max="14080" width="8.796875" style="1431"/>
    <col min="14081" max="14092" width="6.3984375" style="1431" customWidth="1"/>
    <col min="14093" max="14093" width="6" style="1431" customWidth="1"/>
    <col min="14094" max="14336" width="8.796875" style="1431"/>
    <col min="14337" max="14348" width="6.3984375" style="1431" customWidth="1"/>
    <col min="14349" max="14349" width="6" style="1431" customWidth="1"/>
    <col min="14350" max="14592" width="8.796875" style="1431"/>
    <col min="14593" max="14604" width="6.3984375" style="1431" customWidth="1"/>
    <col min="14605" max="14605" width="6" style="1431" customWidth="1"/>
    <col min="14606" max="14848" width="8.796875" style="1431"/>
    <col min="14849" max="14860" width="6.3984375" style="1431" customWidth="1"/>
    <col min="14861" max="14861" width="6" style="1431" customWidth="1"/>
    <col min="14862" max="15104" width="8.796875" style="1431"/>
    <col min="15105" max="15116" width="6.3984375" style="1431" customWidth="1"/>
    <col min="15117" max="15117" width="6" style="1431" customWidth="1"/>
    <col min="15118" max="15360" width="8.796875" style="1431"/>
    <col min="15361" max="15372" width="6.3984375" style="1431" customWidth="1"/>
    <col min="15373" max="15373" width="6" style="1431" customWidth="1"/>
    <col min="15374" max="15616" width="8.796875" style="1431"/>
    <col min="15617" max="15628" width="6.3984375" style="1431" customWidth="1"/>
    <col min="15629" max="15629" width="6" style="1431" customWidth="1"/>
    <col min="15630" max="15872" width="8.796875" style="1431"/>
    <col min="15873" max="15884" width="6.3984375" style="1431" customWidth="1"/>
    <col min="15885" max="15885" width="6" style="1431" customWidth="1"/>
    <col min="15886" max="16128" width="8.796875" style="1431"/>
    <col min="16129" max="16140" width="6.3984375" style="1431" customWidth="1"/>
    <col min="16141" max="16141" width="6" style="1431" customWidth="1"/>
    <col min="16142" max="16384" width="8.796875" style="1431"/>
  </cols>
  <sheetData>
    <row r="1" spans="1:13" ht="30" customHeight="1" thickBot="1">
      <c r="A1" s="1481" t="s">
        <v>3654</v>
      </c>
      <c r="B1" s="1481"/>
      <c r="C1" s="1481"/>
      <c r="D1" s="1481"/>
      <c r="I1" s="2498" t="s">
        <v>3655</v>
      </c>
      <c r="J1" s="2498"/>
      <c r="K1" s="2498"/>
      <c r="L1" s="2498"/>
      <c r="M1" s="1594"/>
    </row>
    <row r="2" spans="1:13" s="1236" customFormat="1" ht="10.8">
      <c r="A2" s="2499" t="s">
        <v>279</v>
      </c>
      <c r="B2" s="2390" t="s">
        <v>3656</v>
      </c>
      <c r="C2" s="2395"/>
      <c r="D2" s="2393"/>
      <c r="E2" s="2390" t="s">
        <v>3657</v>
      </c>
      <c r="F2" s="2395"/>
      <c r="G2" s="2395"/>
      <c r="H2" s="2395"/>
      <c r="I2" s="2395"/>
      <c r="J2" s="2395"/>
      <c r="K2" s="2395"/>
      <c r="L2" s="2395"/>
    </row>
    <row r="3" spans="1:13" s="1236" customFormat="1" ht="10.8">
      <c r="A3" s="2430"/>
      <c r="B3" s="2442" t="s">
        <v>279</v>
      </c>
      <c r="C3" s="2500" t="s">
        <v>3658</v>
      </c>
      <c r="D3" s="2500" t="s">
        <v>3659</v>
      </c>
      <c r="E3" s="2442" t="s">
        <v>279</v>
      </c>
      <c r="F3" s="2500" t="s">
        <v>3660</v>
      </c>
      <c r="G3" s="2495" t="s">
        <v>3661</v>
      </c>
      <c r="H3" s="2496"/>
      <c r="I3" s="2496"/>
      <c r="J3" s="2496"/>
      <c r="K3" s="2443"/>
      <c r="L3" s="2497" t="s">
        <v>3662</v>
      </c>
    </row>
    <row r="4" spans="1:13" s="1236" customFormat="1" ht="33.6">
      <c r="A4" s="2430"/>
      <c r="B4" s="2440"/>
      <c r="C4" s="2440"/>
      <c r="D4" s="2440"/>
      <c r="E4" s="2440"/>
      <c r="F4" s="2440"/>
      <c r="G4" s="1688" t="s">
        <v>3663</v>
      </c>
      <c r="H4" s="2037" t="s">
        <v>3664</v>
      </c>
      <c r="I4" s="2038" t="s">
        <v>3665</v>
      </c>
      <c r="J4" s="2039" t="s">
        <v>3666</v>
      </c>
      <c r="K4" s="1688" t="s">
        <v>3667</v>
      </c>
      <c r="L4" s="2445"/>
    </row>
    <row r="5" spans="1:13" s="1236" customFormat="1" ht="19.8" customHeight="1">
      <c r="A5" s="2040">
        <v>40858</v>
      </c>
      <c r="B5" s="1214">
        <v>21506</v>
      </c>
      <c r="C5" s="1214">
        <v>21274</v>
      </c>
      <c r="D5" s="2040">
        <v>232</v>
      </c>
      <c r="E5" s="1214">
        <v>19352</v>
      </c>
      <c r="F5" s="1214">
        <v>168</v>
      </c>
      <c r="G5" s="1214">
        <v>1537</v>
      </c>
      <c r="H5" s="2041">
        <v>73</v>
      </c>
      <c r="I5" s="1214">
        <v>646</v>
      </c>
      <c r="J5" s="1214">
        <v>818</v>
      </c>
      <c r="K5" s="2040" t="s">
        <v>346</v>
      </c>
      <c r="L5" s="2042">
        <v>17647</v>
      </c>
    </row>
    <row r="6" spans="1:13" ht="17.399999999999999" customHeight="1">
      <c r="A6" s="2043" t="s">
        <v>2710</v>
      </c>
      <c r="B6" s="2043"/>
    </row>
  </sheetData>
  <mergeCells count="11">
    <mergeCell ref="G3:K3"/>
    <mergeCell ref="L3:L4"/>
    <mergeCell ref="I1:L1"/>
    <mergeCell ref="A2:A4"/>
    <mergeCell ref="B2:D2"/>
    <mergeCell ref="E2:L2"/>
    <mergeCell ref="B3:B4"/>
    <mergeCell ref="C3:C4"/>
    <mergeCell ref="D3:D4"/>
    <mergeCell ref="E3:E4"/>
    <mergeCell ref="F3:F4"/>
  </mergeCells>
  <phoneticPr fontId="4"/>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83D1E-7108-4C74-920F-2802C81CA80C}">
  <sheetPr codeName="Sheet105"/>
  <dimension ref="A1:I8"/>
  <sheetViews>
    <sheetView zoomScaleNormal="100" workbookViewId="0"/>
  </sheetViews>
  <sheetFormatPr defaultRowHeight="13.2"/>
  <cols>
    <col min="1" max="9" width="9.59765625" style="1343" customWidth="1"/>
    <col min="10" max="254" width="8.796875" style="1343"/>
    <col min="255" max="263" width="9.59765625" style="1343" customWidth="1"/>
    <col min="264" max="510" width="8.796875" style="1343"/>
    <col min="511" max="519" width="9.59765625" style="1343" customWidth="1"/>
    <col min="520" max="766" width="8.796875" style="1343"/>
    <col min="767" max="775" width="9.59765625" style="1343" customWidth="1"/>
    <col min="776" max="1022" width="8.796875" style="1343"/>
    <col min="1023" max="1031" width="9.59765625" style="1343" customWidth="1"/>
    <col min="1032" max="1278" width="8.796875" style="1343"/>
    <col min="1279" max="1287" width="9.59765625" style="1343" customWidth="1"/>
    <col min="1288" max="1534" width="8.796875" style="1343"/>
    <col min="1535" max="1543" width="9.59765625" style="1343" customWidth="1"/>
    <col min="1544" max="1790" width="8.796875" style="1343"/>
    <col min="1791" max="1799" width="9.59765625" style="1343" customWidth="1"/>
    <col min="1800" max="2046" width="8.796875" style="1343"/>
    <col min="2047" max="2055" width="9.59765625" style="1343" customWidth="1"/>
    <col min="2056" max="2302" width="8.796875" style="1343"/>
    <col min="2303" max="2311" width="9.59765625" style="1343" customWidth="1"/>
    <col min="2312" max="2558" width="8.796875" style="1343"/>
    <col min="2559" max="2567" width="9.59765625" style="1343" customWidth="1"/>
    <col min="2568" max="2814" width="8.796875" style="1343"/>
    <col min="2815" max="2823" width="9.59765625" style="1343" customWidth="1"/>
    <col min="2824" max="3070" width="8.796875" style="1343"/>
    <col min="3071" max="3079" width="9.59765625" style="1343" customWidth="1"/>
    <col min="3080" max="3326" width="8.796875" style="1343"/>
    <col min="3327" max="3335" width="9.59765625" style="1343" customWidth="1"/>
    <col min="3336" max="3582" width="8.796875" style="1343"/>
    <col min="3583" max="3591" width="9.59765625" style="1343" customWidth="1"/>
    <col min="3592" max="3838" width="8.796875" style="1343"/>
    <col min="3839" max="3847" width="9.59765625" style="1343" customWidth="1"/>
    <col min="3848" max="4094" width="8.796875" style="1343"/>
    <col min="4095" max="4103" width="9.59765625" style="1343" customWidth="1"/>
    <col min="4104" max="4350" width="8.796875" style="1343"/>
    <col min="4351" max="4359" width="9.59765625" style="1343" customWidth="1"/>
    <col min="4360" max="4606" width="8.796875" style="1343"/>
    <col min="4607" max="4615" width="9.59765625" style="1343" customWidth="1"/>
    <col min="4616" max="4862" width="8.796875" style="1343"/>
    <col min="4863" max="4871" width="9.59765625" style="1343" customWidth="1"/>
    <col min="4872" max="5118" width="8.796875" style="1343"/>
    <col min="5119" max="5127" width="9.59765625" style="1343" customWidth="1"/>
    <col min="5128" max="5374" width="8.796875" style="1343"/>
    <col min="5375" max="5383" width="9.59765625" style="1343" customWidth="1"/>
    <col min="5384" max="5630" width="8.796875" style="1343"/>
    <col min="5631" max="5639" width="9.59765625" style="1343" customWidth="1"/>
    <col min="5640" max="5886" width="8.796875" style="1343"/>
    <col min="5887" max="5895" width="9.59765625" style="1343" customWidth="1"/>
    <col min="5896" max="6142" width="8.796875" style="1343"/>
    <col min="6143" max="6151" width="9.59765625" style="1343" customWidth="1"/>
    <col min="6152" max="6398" width="8.796875" style="1343"/>
    <col min="6399" max="6407" width="9.59765625" style="1343" customWidth="1"/>
    <col min="6408" max="6654" width="8.796875" style="1343"/>
    <col min="6655" max="6663" width="9.59765625" style="1343" customWidth="1"/>
    <col min="6664" max="6910" width="8.796875" style="1343"/>
    <col min="6911" max="6919" width="9.59765625" style="1343" customWidth="1"/>
    <col min="6920" max="7166" width="8.796875" style="1343"/>
    <col min="7167" max="7175" width="9.59765625" style="1343" customWidth="1"/>
    <col min="7176" max="7422" width="8.796875" style="1343"/>
    <col min="7423" max="7431" width="9.59765625" style="1343" customWidth="1"/>
    <col min="7432" max="7678" width="8.796875" style="1343"/>
    <col min="7679" max="7687" width="9.59765625" style="1343" customWidth="1"/>
    <col min="7688" max="7934" width="8.796875" style="1343"/>
    <col min="7935" max="7943" width="9.59765625" style="1343" customWidth="1"/>
    <col min="7944" max="8190" width="8.796875" style="1343"/>
    <col min="8191" max="8199" width="9.59765625" style="1343" customWidth="1"/>
    <col min="8200" max="8446" width="8.796875" style="1343"/>
    <col min="8447" max="8455" width="9.59765625" style="1343" customWidth="1"/>
    <col min="8456" max="8702" width="8.796875" style="1343"/>
    <col min="8703" max="8711" width="9.59765625" style="1343" customWidth="1"/>
    <col min="8712" max="8958" width="8.796875" style="1343"/>
    <col min="8959" max="8967" width="9.59765625" style="1343" customWidth="1"/>
    <col min="8968" max="9214" width="8.796875" style="1343"/>
    <col min="9215" max="9223" width="9.59765625" style="1343" customWidth="1"/>
    <col min="9224" max="9470" width="8.796875" style="1343"/>
    <col min="9471" max="9479" width="9.59765625" style="1343" customWidth="1"/>
    <col min="9480" max="9726" width="8.796875" style="1343"/>
    <col min="9727" max="9735" width="9.59765625" style="1343" customWidth="1"/>
    <col min="9736" max="9982" width="8.796875" style="1343"/>
    <col min="9983" max="9991" width="9.59765625" style="1343" customWidth="1"/>
    <col min="9992" max="10238" width="8.796875" style="1343"/>
    <col min="10239" max="10247" width="9.59765625" style="1343" customWidth="1"/>
    <col min="10248" max="10494" width="8.796875" style="1343"/>
    <col min="10495" max="10503" width="9.59765625" style="1343" customWidth="1"/>
    <col min="10504" max="10750" width="8.796875" style="1343"/>
    <col min="10751" max="10759" width="9.59765625" style="1343" customWidth="1"/>
    <col min="10760" max="11006" width="8.796875" style="1343"/>
    <col min="11007" max="11015" width="9.59765625" style="1343" customWidth="1"/>
    <col min="11016" max="11262" width="8.796875" style="1343"/>
    <col min="11263" max="11271" width="9.59765625" style="1343" customWidth="1"/>
    <col min="11272" max="11518" width="8.796875" style="1343"/>
    <col min="11519" max="11527" width="9.59765625" style="1343" customWidth="1"/>
    <col min="11528" max="11774" width="8.796875" style="1343"/>
    <col min="11775" max="11783" width="9.59765625" style="1343" customWidth="1"/>
    <col min="11784" max="12030" width="8.796875" style="1343"/>
    <col min="12031" max="12039" width="9.59765625" style="1343" customWidth="1"/>
    <col min="12040" max="12286" width="8.796875" style="1343"/>
    <col min="12287" max="12295" width="9.59765625" style="1343" customWidth="1"/>
    <col min="12296" max="12542" width="8.796875" style="1343"/>
    <col min="12543" max="12551" width="9.59765625" style="1343" customWidth="1"/>
    <col min="12552" max="12798" width="8.796875" style="1343"/>
    <col min="12799" max="12807" width="9.59765625" style="1343" customWidth="1"/>
    <col min="12808" max="13054" width="8.796875" style="1343"/>
    <col min="13055" max="13063" width="9.59765625" style="1343" customWidth="1"/>
    <col min="13064" max="13310" width="8.796875" style="1343"/>
    <col min="13311" max="13319" width="9.59765625" style="1343" customWidth="1"/>
    <col min="13320" max="13566" width="8.796875" style="1343"/>
    <col min="13567" max="13575" width="9.59765625" style="1343" customWidth="1"/>
    <col min="13576" max="13822" width="8.796875" style="1343"/>
    <col min="13823" max="13831" width="9.59765625" style="1343" customWidth="1"/>
    <col min="13832" max="14078" width="8.796875" style="1343"/>
    <col min="14079" max="14087" width="9.59765625" style="1343" customWidth="1"/>
    <col min="14088" max="14334" width="8.796875" style="1343"/>
    <col min="14335" max="14343" width="9.59765625" style="1343" customWidth="1"/>
    <col min="14344" max="14590" width="8.796875" style="1343"/>
    <col min="14591" max="14599" width="9.59765625" style="1343" customWidth="1"/>
    <col min="14600" max="14846" width="8.796875" style="1343"/>
    <col min="14847" max="14855" width="9.59765625" style="1343" customWidth="1"/>
    <col min="14856" max="15102" width="8.796875" style="1343"/>
    <col min="15103" max="15111" width="9.59765625" style="1343" customWidth="1"/>
    <col min="15112" max="15358" width="8.796875" style="1343"/>
    <col min="15359" max="15367" width="9.59765625" style="1343" customWidth="1"/>
    <col min="15368" max="15614" width="8.796875" style="1343"/>
    <col min="15615" max="15623" width="9.59765625" style="1343" customWidth="1"/>
    <col min="15624" max="15870" width="8.796875" style="1343"/>
    <col min="15871" max="15879" width="9.59765625" style="1343" customWidth="1"/>
    <col min="15880" max="16126" width="8.796875" style="1343"/>
    <col min="16127" max="16135" width="9.59765625" style="1343" customWidth="1"/>
    <col min="16136" max="16384" width="8.796875" style="1343"/>
  </cols>
  <sheetData>
    <row r="1" spans="1:9" ht="29.4" customHeight="1" thickBot="1">
      <c r="A1" s="1200" t="s">
        <v>2738</v>
      </c>
      <c r="B1" s="1200"/>
    </row>
    <row r="2" spans="1:9" s="1201" customFormat="1" ht="32.4">
      <c r="A2" s="1413" t="s">
        <v>837</v>
      </c>
      <c r="B2" s="1414" t="s">
        <v>2739</v>
      </c>
      <c r="C2" s="1414" t="s">
        <v>312</v>
      </c>
      <c r="D2" s="1414" t="s">
        <v>2740</v>
      </c>
      <c r="E2" s="1415" t="s">
        <v>2741</v>
      </c>
      <c r="F2" s="1416" t="s">
        <v>2742</v>
      </c>
      <c r="G2" s="1416" t="s">
        <v>2743</v>
      </c>
      <c r="H2" s="1423" t="s">
        <v>2750</v>
      </c>
      <c r="I2" s="1423" t="s">
        <v>2751</v>
      </c>
    </row>
    <row r="3" spans="1:9" s="1201" customFormat="1" ht="19.8" customHeight="1">
      <c r="A3" s="1406" t="s">
        <v>2744</v>
      </c>
      <c r="B3" s="99">
        <v>1887</v>
      </c>
      <c r="C3" s="99">
        <v>1877</v>
      </c>
      <c r="D3" s="99">
        <v>1751</v>
      </c>
      <c r="E3" s="100">
        <v>1626</v>
      </c>
      <c r="F3" s="1417">
        <v>1751</v>
      </c>
      <c r="G3" s="1417">
        <v>1597</v>
      </c>
      <c r="H3" s="1424">
        <v>1631</v>
      </c>
      <c r="I3" s="1424">
        <v>1217</v>
      </c>
    </row>
    <row r="4" spans="1:9" s="1201" customFormat="1" ht="19.8" customHeight="1" thickBot="1">
      <c r="A4" s="1418" t="s">
        <v>2745</v>
      </c>
      <c r="B4" s="1419">
        <v>13578</v>
      </c>
      <c r="C4" s="1419">
        <v>14145</v>
      </c>
      <c r="D4" s="1419">
        <v>15091</v>
      </c>
      <c r="E4" s="1420">
        <v>12710</v>
      </c>
      <c r="F4" s="1421">
        <v>14852</v>
      </c>
      <c r="G4" s="1421">
        <v>12273</v>
      </c>
      <c r="H4" s="1425" t="s">
        <v>69</v>
      </c>
      <c r="I4" s="1425">
        <v>10547</v>
      </c>
    </row>
    <row r="5" spans="1:9" s="1201" customFormat="1" ht="16.2" customHeight="1">
      <c r="A5" s="1422" t="s">
        <v>2746</v>
      </c>
      <c r="B5" s="1422"/>
    </row>
    <row r="6" spans="1:9" ht="16.2" customHeight="1">
      <c r="A6" s="1201" t="s">
        <v>2747</v>
      </c>
    </row>
    <row r="7" spans="1:9" ht="16.2" customHeight="1">
      <c r="A7" s="1201" t="s">
        <v>2748</v>
      </c>
    </row>
    <row r="8" spans="1:9" ht="16.2" customHeight="1">
      <c r="A8" s="1201" t="s">
        <v>2749</v>
      </c>
    </row>
  </sheetData>
  <phoneticPr fontId="4"/>
  <pageMargins left="0.7" right="0.7" top="0.75" bottom="0.75" header="0.3" footer="0.3"/>
  <pageSetup paperSize="9" scale="9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56F90-C8A3-4BEC-95CC-0C525B32A113}">
  <sheetPr codeName="Sheet106"/>
  <dimension ref="A1:H55"/>
  <sheetViews>
    <sheetView zoomScaleNormal="100" workbookViewId="0"/>
  </sheetViews>
  <sheetFormatPr defaultColWidth="8.09765625" defaultRowHeight="13.2"/>
  <cols>
    <col min="1" max="1" width="24.69921875" style="1431" customWidth="1"/>
    <col min="2" max="7" width="7" style="1431" customWidth="1"/>
    <col min="8" max="8" width="5.5" style="1431" customWidth="1"/>
    <col min="9" max="16384" width="8.09765625" style="1431"/>
  </cols>
  <sheetData>
    <row r="1" spans="1:8" ht="30" customHeight="1" thickBot="1">
      <c r="A1" s="1429" t="s">
        <v>2752</v>
      </c>
      <c r="B1" s="1430"/>
      <c r="C1" s="1430"/>
      <c r="D1" s="1430"/>
      <c r="E1" s="1430"/>
      <c r="F1" s="1429"/>
      <c r="G1" s="1429"/>
    </row>
    <row r="2" spans="1:8" s="1236" customFormat="1" ht="22.5" customHeight="1">
      <c r="A2" s="2499" t="s">
        <v>2753</v>
      </c>
      <c r="B2" s="2501" t="s">
        <v>2754</v>
      </c>
      <c r="C2" s="2502"/>
      <c r="D2" s="2501" t="s">
        <v>2755</v>
      </c>
      <c r="E2" s="2502"/>
      <c r="F2" s="2501" t="s">
        <v>2776</v>
      </c>
      <c r="G2" s="2502"/>
      <c r="H2" s="1434"/>
    </row>
    <row r="3" spans="1:8" s="1236" customFormat="1" ht="12.75" customHeight="1">
      <c r="A3" s="2431"/>
      <c r="B3" s="1272" t="s">
        <v>2744</v>
      </c>
      <c r="C3" s="1435" t="s">
        <v>36</v>
      </c>
      <c r="D3" s="1272" t="s">
        <v>2744</v>
      </c>
      <c r="E3" s="1435" t="s">
        <v>36</v>
      </c>
      <c r="F3" s="1272" t="s">
        <v>2744</v>
      </c>
      <c r="G3" s="1435" t="s">
        <v>36</v>
      </c>
      <c r="H3" s="1434"/>
    </row>
    <row r="4" spans="1:8" s="1236" customFormat="1" ht="12.75" customHeight="1">
      <c r="A4" s="1436" t="s">
        <v>2756</v>
      </c>
      <c r="B4" s="1437">
        <v>1726</v>
      </c>
      <c r="C4" s="1438">
        <f>SUM(C5:C22)</f>
        <v>100.00000000000001</v>
      </c>
      <c r="D4" s="1437">
        <v>1564</v>
      </c>
      <c r="E4" s="1438">
        <f>SUM(E5:E22)</f>
        <v>100</v>
      </c>
      <c r="F4" s="1437">
        <v>1165</v>
      </c>
      <c r="G4" s="1438">
        <f>SUM(G5:G22)</f>
        <v>100</v>
      </c>
      <c r="H4" s="1245"/>
    </row>
    <row r="5" spans="1:8" s="1236" customFormat="1" ht="12.75" customHeight="1">
      <c r="A5" s="1436" t="s">
        <v>2757</v>
      </c>
      <c r="B5" s="1437">
        <v>25</v>
      </c>
      <c r="C5" s="1439">
        <f>B5/B4*100</f>
        <v>1.4484356894553883</v>
      </c>
      <c r="D5" s="1437">
        <v>26</v>
      </c>
      <c r="E5" s="1439">
        <f>D5/D4*100</f>
        <v>1.6624040920716114</v>
      </c>
      <c r="F5" s="1437">
        <v>17</v>
      </c>
      <c r="G5" s="1439">
        <f>F5/F4*100</f>
        <v>1.4592274678111588</v>
      </c>
      <c r="H5" s="1245"/>
    </row>
    <row r="6" spans="1:8" s="1236" customFormat="1" ht="12.75" customHeight="1">
      <c r="A6" s="1436" t="s">
        <v>417</v>
      </c>
      <c r="B6" s="1437">
        <v>2</v>
      </c>
      <c r="C6" s="1439">
        <f>B6/B4*100</f>
        <v>0.11587485515643105</v>
      </c>
      <c r="D6" s="1437">
        <v>2</v>
      </c>
      <c r="E6" s="1439">
        <f>D6/D4*100</f>
        <v>0.12787723785166241</v>
      </c>
      <c r="F6" s="1437">
        <v>0</v>
      </c>
      <c r="G6" s="1439">
        <f>F6/F4*100</f>
        <v>0</v>
      </c>
      <c r="H6" s="1245"/>
    </row>
    <row r="7" spans="1:8" s="1236" customFormat="1" ht="12.75" customHeight="1">
      <c r="A7" s="1436" t="s">
        <v>387</v>
      </c>
      <c r="B7" s="1437">
        <v>226</v>
      </c>
      <c r="C7" s="1439">
        <f>B7/B4*100</f>
        <v>13.093858632676708</v>
      </c>
      <c r="D7" s="1437">
        <v>218</v>
      </c>
      <c r="E7" s="1439">
        <f>D7/D4*100</f>
        <v>13.938618925831204</v>
      </c>
      <c r="F7" s="1437">
        <v>145</v>
      </c>
      <c r="G7" s="1439">
        <f>F7/F4*100</f>
        <v>12.446351931330472</v>
      </c>
      <c r="H7" s="1245"/>
    </row>
    <row r="8" spans="1:8" s="1236" customFormat="1" ht="12.75" customHeight="1">
      <c r="A8" s="1436" t="s">
        <v>388</v>
      </c>
      <c r="B8" s="1437">
        <v>121</v>
      </c>
      <c r="C8" s="1439">
        <f>B8/B4*100</f>
        <v>7.0104287369640792</v>
      </c>
      <c r="D8" s="1437">
        <v>113</v>
      </c>
      <c r="E8" s="1439">
        <f>D8/D4*100</f>
        <v>7.2250639386189253</v>
      </c>
      <c r="F8" s="1437">
        <v>86</v>
      </c>
      <c r="G8" s="1439">
        <f>F8/F4*100</f>
        <v>7.3819742489270386</v>
      </c>
      <c r="H8" s="1245"/>
    </row>
    <row r="9" spans="1:8" s="1236" customFormat="1" ht="12.75" customHeight="1">
      <c r="A9" s="1436" t="s">
        <v>390</v>
      </c>
      <c r="B9" s="1437">
        <v>9</v>
      </c>
      <c r="C9" s="1439">
        <f>B9/B4*100</f>
        <v>0.52143684820393976</v>
      </c>
      <c r="D9" s="1437">
        <v>8</v>
      </c>
      <c r="E9" s="1439">
        <f>D9/D4*100</f>
        <v>0.51150895140664965</v>
      </c>
      <c r="F9" s="1437">
        <v>7</v>
      </c>
      <c r="G9" s="1439">
        <f>F9/F4*100</f>
        <v>0.60085836909871249</v>
      </c>
      <c r="H9" s="1245"/>
    </row>
    <row r="10" spans="1:8" s="1236" customFormat="1" ht="12.75" customHeight="1">
      <c r="A10" s="1440" t="s">
        <v>391</v>
      </c>
      <c r="B10" s="1437">
        <v>5</v>
      </c>
      <c r="C10" s="1439">
        <f>B10/B4*100</f>
        <v>0.28968713789107764</v>
      </c>
      <c r="D10" s="1437">
        <v>5</v>
      </c>
      <c r="E10" s="1439">
        <f>D10/D4*100</f>
        <v>0.31969309462915602</v>
      </c>
      <c r="F10" s="1437">
        <v>7</v>
      </c>
      <c r="G10" s="1439">
        <f>F10/F4*100</f>
        <v>0.60085836909871249</v>
      </c>
      <c r="H10" s="1245"/>
    </row>
    <row r="11" spans="1:8" s="1236" customFormat="1" ht="12.75" customHeight="1">
      <c r="A11" s="1436" t="s">
        <v>2758</v>
      </c>
      <c r="B11" s="1437">
        <v>36</v>
      </c>
      <c r="C11" s="1439">
        <f>B11/B4*100</f>
        <v>2.085747392815759</v>
      </c>
      <c r="D11" s="1437">
        <v>35</v>
      </c>
      <c r="E11" s="1439">
        <f>D11/D4*100</f>
        <v>2.2378516624040921</v>
      </c>
      <c r="F11" s="1437">
        <v>30</v>
      </c>
      <c r="G11" s="1439">
        <f>F11/F4*100</f>
        <v>2.5751072961373391</v>
      </c>
      <c r="H11" s="1245"/>
    </row>
    <row r="12" spans="1:8" s="1236" customFormat="1" ht="12.75" customHeight="1">
      <c r="A12" s="1436" t="s">
        <v>2759</v>
      </c>
      <c r="B12" s="1437">
        <v>346</v>
      </c>
      <c r="C12" s="1439">
        <f>B12/B4*100</f>
        <v>20.046349942062573</v>
      </c>
      <c r="D12" s="1437">
        <v>328</v>
      </c>
      <c r="E12" s="1439">
        <f>D12/D4*100</f>
        <v>20.971867007672635</v>
      </c>
      <c r="F12" s="1437">
        <v>245</v>
      </c>
      <c r="G12" s="1439">
        <f>F12/F4*100</f>
        <v>21.030042918454935</v>
      </c>
      <c r="H12" s="1245"/>
    </row>
    <row r="13" spans="1:8" s="1236" customFormat="1" ht="12.75" customHeight="1">
      <c r="A13" s="1436" t="s">
        <v>2760</v>
      </c>
      <c r="B13" s="1437">
        <v>18</v>
      </c>
      <c r="C13" s="1439">
        <f>B13/B4*100</f>
        <v>1.0428736964078795</v>
      </c>
      <c r="D13" s="1437">
        <v>18</v>
      </c>
      <c r="E13" s="1439">
        <f>D13/D4*100</f>
        <v>1.1508951406649617</v>
      </c>
      <c r="F13" s="1437">
        <v>16</v>
      </c>
      <c r="G13" s="1439">
        <f>F13/F4*100</f>
        <v>1.3733905579399142</v>
      </c>
      <c r="H13" s="1245"/>
    </row>
    <row r="14" spans="1:8" s="1236" customFormat="1" ht="12.75" customHeight="1">
      <c r="A14" s="1436" t="s">
        <v>2761</v>
      </c>
      <c r="B14" s="1437">
        <v>71</v>
      </c>
      <c r="C14" s="1441">
        <f>B14/B4*100</f>
        <v>4.1135573580533027</v>
      </c>
      <c r="D14" s="1437">
        <v>66</v>
      </c>
      <c r="E14" s="1441">
        <f>D14/D4*100</f>
        <v>4.2199488491048589</v>
      </c>
      <c r="F14" s="1437">
        <v>38</v>
      </c>
      <c r="G14" s="1441">
        <f>F14/F4*100</f>
        <v>3.2618025751072963</v>
      </c>
      <c r="H14" s="1442"/>
    </row>
    <row r="15" spans="1:8" s="1236" customFormat="1" ht="12.75" customHeight="1">
      <c r="A15" s="1443" t="s">
        <v>2762</v>
      </c>
      <c r="B15" s="1437">
        <v>53</v>
      </c>
      <c r="C15" s="1444">
        <f>B15/B4*100</f>
        <v>3.0706836616454227</v>
      </c>
      <c r="D15" s="1437">
        <v>45</v>
      </c>
      <c r="E15" s="1444">
        <f>D15/D4*100</f>
        <v>2.8772378516624042</v>
      </c>
      <c r="F15" s="1437">
        <v>41</v>
      </c>
      <c r="G15" s="1444">
        <f>F15/F4*100</f>
        <v>3.5193133047210301</v>
      </c>
      <c r="H15" s="1445"/>
    </row>
    <row r="16" spans="1:8" s="1236" customFormat="1" ht="12.75" customHeight="1">
      <c r="A16" s="1440" t="s">
        <v>2763</v>
      </c>
      <c r="B16" s="1437">
        <v>290</v>
      </c>
      <c r="C16" s="1444">
        <f>B16/B4*100</f>
        <v>16.801853997682503</v>
      </c>
      <c r="D16" s="1437">
        <v>265</v>
      </c>
      <c r="E16" s="1444">
        <f>D16/D4*100</f>
        <v>16.943734015345267</v>
      </c>
      <c r="F16" s="1437">
        <v>179</v>
      </c>
      <c r="G16" s="1444">
        <f>F16/F4*100</f>
        <v>15.36480686695279</v>
      </c>
      <c r="H16" s="1445"/>
    </row>
    <row r="17" spans="1:8" s="1236" customFormat="1" ht="12.75" customHeight="1">
      <c r="A17" s="1440" t="s">
        <v>2764</v>
      </c>
      <c r="B17" s="1437">
        <v>141</v>
      </c>
      <c r="C17" s="1444">
        <f>B17/B4*100</f>
        <v>8.16917728852839</v>
      </c>
      <c r="D17" s="1437">
        <v>136</v>
      </c>
      <c r="E17" s="1444">
        <f>D17/D4*100</f>
        <v>8.695652173913043</v>
      </c>
      <c r="F17" s="1437">
        <v>110</v>
      </c>
      <c r="G17" s="1444">
        <f>F17/F4*100</f>
        <v>9.4420600858369106</v>
      </c>
      <c r="H17" s="570"/>
    </row>
    <row r="18" spans="1:8" s="1236" customFormat="1" ht="12.75" customHeight="1">
      <c r="A18" s="1440" t="s">
        <v>2765</v>
      </c>
      <c r="B18" s="1437">
        <v>85</v>
      </c>
      <c r="C18" s="1444">
        <f>B18/B4*100</f>
        <v>4.9246813441483202</v>
      </c>
      <c r="D18" s="1437">
        <v>57</v>
      </c>
      <c r="E18" s="1444">
        <f>D18/D4*100</f>
        <v>3.6445012787723789</v>
      </c>
      <c r="F18" s="1437">
        <v>49</v>
      </c>
      <c r="G18" s="1444">
        <f>F18/F4*100</f>
        <v>4.2060085836909868</v>
      </c>
    </row>
    <row r="19" spans="1:8" s="1236" customFormat="1" ht="12.75" customHeight="1">
      <c r="A19" s="1440" t="s">
        <v>427</v>
      </c>
      <c r="B19" s="1437">
        <v>131</v>
      </c>
      <c r="C19" s="1444">
        <f>B19/B4*100</f>
        <v>7.5898030127462341</v>
      </c>
      <c r="D19" s="1437">
        <v>107</v>
      </c>
      <c r="E19" s="1444">
        <f>D19/D4*100</f>
        <v>6.8414322250639383</v>
      </c>
      <c r="F19" s="1437">
        <v>96</v>
      </c>
      <c r="G19" s="1444">
        <f>F19/F4*100</f>
        <v>8.2403433476394845</v>
      </c>
    </row>
    <row r="20" spans="1:8" s="1236" customFormat="1" ht="12.75" customHeight="1">
      <c r="A20" s="1440" t="s">
        <v>2766</v>
      </c>
      <c r="B20" s="1446">
        <v>19</v>
      </c>
      <c r="C20" s="1444">
        <f>B20/B4*100</f>
        <v>1.1008111239860949</v>
      </c>
      <c r="D20" s="1446">
        <v>16</v>
      </c>
      <c r="E20" s="1444">
        <f>D20/D4*100</f>
        <v>1.0230179028132993</v>
      </c>
      <c r="F20" s="1446">
        <v>14</v>
      </c>
      <c r="G20" s="1444">
        <f>F20/F4*100</f>
        <v>1.201716738197425</v>
      </c>
    </row>
    <row r="21" spans="1:8" s="1236" customFormat="1" ht="12.75" customHeight="1">
      <c r="A21" s="1447" t="s">
        <v>2767</v>
      </c>
      <c r="B21" s="1446">
        <v>123</v>
      </c>
      <c r="C21" s="1444">
        <f>B21/B4*100</f>
        <v>7.12630359212051</v>
      </c>
      <c r="D21" s="1446">
        <v>119</v>
      </c>
      <c r="E21" s="1444">
        <f>D21/D4*100</f>
        <v>7.608695652173914</v>
      </c>
      <c r="F21" s="1446">
        <v>85</v>
      </c>
      <c r="G21" s="1444">
        <f>F21/F4*100</f>
        <v>7.296137339055794</v>
      </c>
    </row>
    <row r="22" spans="1:8" s="1236" customFormat="1" ht="12.75" customHeight="1" thickBot="1">
      <c r="A22" s="1448" t="s">
        <v>430</v>
      </c>
      <c r="B22" s="1253">
        <v>25</v>
      </c>
      <c r="C22" s="1449">
        <f>B22/B4*100</f>
        <v>1.4484356894553883</v>
      </c>
      <c r="D22" s="1253" t="s">
        <v>384</v>
      </c>
      <c r="E22" s="1450" t="s">
        <v>384</v>
      </c>
      <c r="F22" s="1253" t="s">
        <v>384</v>
      </c>
      <c r="G22" s="1450" t="s">
        <v>345</v>
      </c>
    </row>
    <row r="23" spans="1:8" s="1236" customFormat="1" ht="12.75" customHeight="1">
      <c r="A23" s="1451" t="s">
        <v>2768</v>
      </c>
      <c r="B23" s="1452"/>
      <c r="C23" s="1445"/>
      <c r="D23" s="570"/>
      <c r="E23" s="1445"/>
      <c r="F23" s="1452"/>
      <c r="G23" s="1453"/>
    </row>
    <row r="24" spans="1:8">
      <c r="A24" s="1236" t="s">
        <v>2769</v>
      </c>
    </row>
    <row r="25" spans="1:8">
      <c r="A25" s="1236" t="s">
        <v>2770</v>
      </c>
    </row>
    <row r="26" spans="1:8">
      <c r="A26" s="1236" t="s">
        <v>2771</v>
      </c>
    </row>
    <row r="27" spans="1:8">
      <c r="A27" s="1236" t="s">
        <v>2772</v>
      </c>
    </row>
    <row r="28" spans="1:8" s="1236" customFormat="1" ht="12.75" customHeight="1">
      <c r="A28" s="1454"/>
      <c r="B28" s="570"/>
      <c r="C28" s="1445"/>
      <c r="D28" s="570"/>
      <c r="E28" s="1445"/>
      <c r="F28" s="570"/>
      <c r="G28" s="1245"/>
    </row>
    <row r="29" spans="1:8" s="1236" customFormat="1" ht="27" customHeight="1" thickBot="1">
      <c r="A29" s="1429" t="s">
        <v>2773</v>
      </c>
      <c r="B29" s="1455"/>
      <c r="C29" s="1430"/>
      <c r="D29" s="1430"/>
      <c r="E29" s="1430"/>
      <c r="F29" s="1429"/>
      <c r="G29" s="1429"/>
      <c r="H29" s="1245"/>
    </row>
    <row r="30" spans="1:8" s="1236" customFormat="1" ht="22.5" customHeight="1">
      <c r="A30" s="2499" t="s">
        <v>2753</v>
      </c>
      <c r="B30" s="2501" t="s">
        <v>2754</v>
      </c>
      <c r="C30" s="2502"/>
      <c r="D30" s="2501" t="s">
        <v>2755</v>
      </c>
      <c r="E30" s="2502"/>
      <c r="F30" s="2501" t="s">
        <v>2777</v>
      </c>
      <c r="G30" s="2502"/>
      <c r="H30" s="1245"/>
    </row>
    <row r="31" spans="1:8" s="1236" customFormat="1" ht="12.75" customHeight="1">
      <c r="A31" s="2431"/>
      <c r="B31" s="1272" t="s">
        <v>2774</v>
      </c>
      <c r="C31" s="1435" t="s">
        <v>36</v>
      </c>
      <c r="D31" s="1272" t="s">
        <v>2774</v>
      </c>
      <c r="E31" s="1435" t="s">
        <v>36</v>
      </c>
      <c r="F31" s="1272" t="s">
        <v>2774</v>
      </c>
      <c r="G31" s="1435" t="s">
        <v>36</v>
      </c>
      <c r="H31" s="1245"/>
    </row>
    <row r="32" spans="1:8" s="1236" customFormat="1" ht="12.75" customHeight="1">
      <c r="A32" s="1436" t="s">
        <v>2756</v>
      </c>
      <c r="B32" s="1437">
        <v>14852</v>
      </c>
      <c r="C32" s="1438">
        <f>SUM(C33:C50)</f>
        <v>99.999999999999986</v>
      </c>
      <c r="D32" s="1437">
        <v>12273</v>
      </c>
      <c r="E32" s="1438">
        <f>SUM(E33:E50)</f>
        <v>100.00000000000001</v>
      </c>
      <c r="F32" s="1437">
        <v>10342</v>
      </c>
      <c r="G32" s="1438">
        <f>SUM(G33:G50)</f>
        <v>99.999999999999986</v>
      </c>
      <c r="H32" s="1245"/>
    </row>
    <row r="33" spans="1:8" s="1236" customFormat="1" ht="12.75" customHeight="1">
      <c r="A33" s="1436" t="s">
        <v>2775</v>
      </c>
      <c r="B33" s="1437">
        <v>507</v>
      </c>
      <c r="C33" s="1438">
        <f>B33/B32*100</f>
        <v>3.4136816590358201</v>
      </c>
      <c r="D33" s="1437">
        <v>493</v>
      </c>
      <c r="E33" s="1438">
        <f>D33/D32*100</f>
        <v>4.0169477715310027</v>
      </c>
      <c r="F33" s="1437">
        <v>412</v>
      </c>
      <c r="G33" s="1438">
        <f>F33/F32*100</f>
        <v>3.9837555598530265</v>
      </c>
      <c r="H33" s="1245"/>
    </row>
    <row r="34" spans="1:8" s="1236" customFormat="1" ht="12.75" customHeight="1">
      <c r="A34" s="1436" t="s">
        <v>417</v>
      </c>
      <c r="B34" s="1437">
        <v>10</v>
      </c>
      <c r="C34" s="1438">
        <f>B34/B32*100</f>
        <v>6.7330999192028007E-2</v>
      </c>
      <c r="D34" s="1437">
        <v>2</v>
      </c>
      <c r="E34" s="1438">
        <f>D34/D32*100</f>
        <v>1.6295934164425978E-2</v>
      </c>
      <c r="F34" s="1437">
        <v>0</v>
      </c>
      <c r="G34" s="1438">
        <f>F34/F32*100</f>
        <v>0</v>
      </c>
      <c r="H34" s="1245"/>
    </row>
    <row r="35" spans="1:8" s="1236" customFormat="1" ht="12.75" customHeight="1">
      <c r="A35" s="1436" t="s">
        <v>387</v>
      </c>
      <c r="B35" s="1437">
        <v>1423</v>
      </c>
      <c r="C35" s="1438">
        <f>B35/B32*100</f>
        <v>9.581201185025586</v>
      </c>
      <c r="D35" s="1437">
        <v>1472</v>
      </c>
      <c r="E35" s="1438">
        <f>D35/D32*100</f>
        <v>11.993807545017518</v>
      </c>
      <c r="F35" s="1437">
        <v>1159</v>
      </c>
      <c r="G35" s="1438">
        <f>F35/F32*100</f>
        <v>11.20672983948946</v>
      </c>
      <c r="H35" s="1245"/>
    </row>
    <row r="36" spans="1:8" s="1236" customFormat="1" ht="12.75" customHeight="1">
      <c r="A36" s="1436" t="s">
        <v>388</v>
      </c>
      <c r="B36" s="1437">
        <v>2430</v>
      </c>
      <c r="C36" s="1438">
        <f>B36/B32*100</f>
        <v>16.361432803662808</v>
      </c>
      <c r="D36" s="1437">
        <v>2466</v>
      </c>
      <c r="E36" s="1438">
        <f>D36/D32*100</f>
        <v>20.092886824737228</v>
      </c>
      <c r="F36" s="1437">
        <v>2358</v>
      </c>
      <c r="G36" s="1438">
        <f>F36/F32*100</f>
        <v>22.80023206343067</v>
      </c>
      <c r="H36" s="1245"/>
    </row>
    <row r="37" spans="1:8" s="1236" customFormat="1" ht="12.75" customHeight="1">
      <c r="A37" s="1436" t="s">
        <v>390</v>
      </c>
      <c r="B37" s="1437">
        <v>253</v>
      </c>
      <c r="C37" s="1438">
        <f>B37/B32*100</f>
        <v>1.7034742795583087</v>
      </c>
      <c r="D37" s="1437">
        <v>203</v>
      </c>
      <c r="E37" s="1438">
        <f>D37/D32*100</f>
        <v>1.6540373176892367</v>
      </c>
      <c r="F37" s="1437">
        <v>144</v>
      </c>
      <c r="G37" s="1438">
        <f>F37/F32*100</f>
        <v>1.3923805840263006</v>
      </c>
      <c r="H37" s="1442"/>
    </row>
    <row r="38" spans="1:8" s="1236" customFormat="1" ht="12.75" customHeight="1">
      <c r="A38" s="1440" t="s">
        <v>391</v>
      </c>
      <c r="B38" s="1437">
        <v>29</v>
      </c>
      <c r="C38" s="1438">
        <f>B38/B32*100</f>
        <v>0.19525989765688123</v>
      </c>
      <c r="D38" s="1437">
        <v>34</v>
      </c>
      <c r="E38" s="1438">
        <f>D38/D32*100</f>
        <v>0.27703088079524157</v>
      </c>
      <c r="F38" s="1437">
        <v>51</v>
      </c>
      <c r="G38" s="1438">
        <f>F38/F32*100</f>
        <v>0.49313479017598144</v>
      </c>
      <c r="H38" s="1445"/>
    </row>
    <row r="39" spans="1:8" s="1236" customFormat="1" ht="12.75" customHeight="1">
      <c r="A39" s="1436" t="s">
        <v>2758</v>
      </c>
      <c r="B39" s="1437">
        <v>526</v>
      </c>
      <c r="C39" s="1438">
        <f>B39/B32*100</f>
        <v>3.5416105575006731</v>
      </c>
      <c r="D39" s="1437">
        <v>567</v>
      </c>
      <c r="E39" s="1438">
        <f>D39/D32*100</f>
        <v>4.6198973356147643</v>
      </c>
      <c r="F39" s="1437">
        <v>507</v>
      </c>
      <c r="G39" s="1438">
        <f>F39/F32*100</f>
        <v>4.9023399729259332</v>
      </c>
      <c r="H39" s="1445"/>
    </row>
    <row r="40" spans="1:8" s="1236" customFormat="1" ht="12.75" customHeight="1">
      <c r="A40" s="1436" t="s">
        <v>2759</v>
      </c>
      <c r="B40" s="1437">
        <v>2246</v>
      </c>
      <c r="C40" s="1438">
        <f>B40/B32*100</f>
        <v>15.122542418529491</v>
      </c>
      <c r="D40" s="1437">
        <v>2243</v>
      </c>
      <c r="E40" s="1438">
        <f>D40/D32*100</f>
        <v>18.275890165403734</v>
      </c>
      <c r="F40" s="1437">
        <v>1689</v>
      </c>
      <c r="G40" s="1438">
        <f>F40/F32*100</f>
        <v>16.331463933475149</v>
      </c>
      <c r="H40" s="1445"/>
    </row>
    <row r="41" spans="1:8" s="1236" customFormat="1" ht="12.75" customHeight="1">
      <c r="A41" s="1436" t="s">
        <v>2760</v>
      </c>
      <c r="B41" s="1437">
        <v>189</v>
      </c>
      <c r="C41" s="1438">
        <f>B41/B32*100</f>
        <v>1.2725558847293295</v>
      </c>
      <c r="D41" s="1437">
        <v>173</v>
      </c>
      <c r="E41" s="1438">
        <f>D41/D32*100</f>
        <v>1.4095983052228469</v>
      </c>
      <c r="F41" s="1437">
        <v>168</v>
      </c>
      <c r="G41" s="1438">
        <f>F41/F32*100</f>
        <v>1.6244440146973504</v>
      </c>
      <c r="H41" s="1445"/>
    </row>
    <row r="42" spans="1:8" s="1236" customFormat="1" ht="12.75" customHeight="1">
      <c r="A42" s="1440" t="s">
        <v>2761</v>
      </c>
      <c r="B42" s="1437">
        <v>210</v>
      </c>
      <c r="C42" s="1456">
        <f>B42/B32*100</f>
        <v>1.4139509830325883</v>
      </c>
      <c r="D42" s="1437">
        <v>176</v>
      </c>
      <c r="E42" s="1456">
        <f>D42/D32*100</f>
        <v>1.434042206469486</v>
      </c>
      <c r="F42" s="1437">
        <v>139</v>
      </c>
      <c r="G42" s="1456">
        <f>F42/F32*100</f>
        <v>1.3440340359698317</v>
      </c>
      <c r="H42" s="1445"/>
    </row>
    <row r="43" spans="1:8" s="1236" customFormat="1" ht="12.75" customHeight="1">
      <c r="A43" s="1447" t="s">
        <v>2762</v>
      </c>
      <c r="B43" s="1446">
        <v>249</v>
      </c>
      <c r="C43" s="1444">
        <f>B43/B32*100</f>
        <v>1.6765418798814973</v>
      </c>
      <c r="D43" s="1446">
        <v>179</v>
      </c>
      <c r="E43" s="1444">
        <f>D43/D32*100</f>
        <v>1.4584861077161249</v>
      </c>
      <c r="F43" s="1446">
        <v>163</v>
      </c>
      <c r="G43" s="1444">
        <f>F43/F32*100</f>
        <v>1.5760974666408818</v>
      </c>
      <c r="H43" s="1445"/>
    </row>
    <row r="44" spans="1:8" s="1236" customFormat="1" ht="12.75" customHeight="1">
      <c r="A44" s="1436" t="s">
        <v>2763</v>
      </c>
      <c r="B44" s="1446">
        <v>1800</v>
      </c>
      <c r="C44" s="1444">
        <f>B44/B32*100</f>
        <v>12.119579854565043</v>
      </c>
      <c r="D44" s="1446">
        <v>1659</v>
      </c>
      <c r="E44" s="1444">
        <f>D44/D32*100</f>
        <v>13.517477389391347</v>
      </c>
      <c r="F44" s="1446">
        <v>1099</v>
      </c>
      <c r="G44" s="1444">
        <f>F44/F32*100</f>
        <v>10.626571262811835</v>
      </c>
      <c r="H44" s="1445"/>
    </row>
    <row r="45" spans="1:8" s="1236" customFormat="1" ht="12.75" customHeight="1">
      <c r="A45" s="1436" t="s">
        <v>2764</v>
      </c>
      <c r="B45" s="1446">
        <v>625</v>
      </c>
      <c r="C45" s="1444">
        <f>B45/B32*100</f>
        <v>4.2081874495017502</v>
      </c>
      <c r="D45" s="1446">
        <v>605</v>
      </c>
      <c r="E45" s="1444">
        <f>D45/D32*100</f>
        <v>4.9295200847388569</v>
      </c>
      <c r="F45" s="1446">
        <v>465</v>
      </c>
      <c r="G45" s="1444">
        <f>F45/F32*100</f>
        <v>4.4962289692515958</v>
      </c>
      <c r="H45" s="570"/>
    </row>
    <row r="46" spans="1:8" ht="12.75" customHeight="1">
      <c r="A46" s="1436" t="s">
        <v>2765</v>
      </c>
      <c r="B46" s="1446">
        <v>674</v>
      </c>
      <c r="C46" s="1444">
        <f>B46/B32*100</f>
        <v>4.5381093455426882</v>
      </c>
      <c r="D46" s="1446">
        <v>220</v>
      </c>
      <c r="E46" s="1444">
        <f>D46/D32*100</f>
        <v>1.7925527580868572</v>
      </c>
      <c r="F46" s="1446">
        <v>211</v>
      </c>
      <c r="G46" s="1444">
        <f>F46/F32*100</f>
        <v>2.0402243279829819</v>
      </c>
    </row>
    <row r="47" spans="1:8" ht="12.75" customHeight="1">
      <c r="A47" s="1436" t="s">
        <v>427</v>
      </c>
      <c r="B47" s="1446">
        <v>2183</v>
      </c>
      <c r="C47" s="1444">
        <f>B47/B32*100</f>
        <v>14.698357123619715</v>
      </c>
      <c r="D47" s="1446">
        <v>1079</v>
      </c>
      <c r="E47" s="1444">
        <f>D47/D32*100</f>
        <v>8.7916564817078147</v>
      </c>
      <c r="F47" s="1446">
        <v>1069</v>
      </c>
      <c r="G47" s="1444">
        <f>F47/F32*100</f>
        <v>10.336491974473022</v>
      </c>
    </row>
    <row r="48" spans="1:8" ht="12.75" customHeight="1">
      <c r="A48" s="1436" t="s">
        <v>2766</v>
      </c>
      <c r="B48" s="1446">
        <v>345</v>
      </c>
      <c r="C48" s="1444">
        <f>B48/B32*100</f>
        <v>2.3229194721249664</v>
      </c>
      <c r="D48" s="1446">
        <v>198</v>
      </c>
      <c r="E48" s="1444">
        <f>D48/D32*100</f>
        <v>1.6132974822781716</v>
      </c>
      <c r="F48" s="1446">
        <v>246</v>
      </c>
      <c r="G48" s="1444">
        <f>F48/F32*100</f>
        <v>2.3786501643782634</v>
      </c>
    </row>
    <row r="49" spans="1:7" ht="12.75" customHeight="1">
      <c r="A49" s="1447" t="s">
        <v>2767</v>
      </c>
      <c r="B49" s="1446">
        <v>576</v>
      </c>
      <c r="C49" s="1444">
        <f>B49/B32*100</f>
        <v>3.8782655534608135</v>
      </c>
      <c r="D49" s="1446">
        <v>504</v>
      </c>
      <c r="E49" s="1444">
        <f>D49/D32*100</f>
        <v>4.1065754094353455</v>
      </c>
      <c r="F49" s="1446">
        <v>462</v>
      </c>
      <c r="G49" s="1444">
        <f>F49/F32*100</f>
        <v>4.467221040417714</v>
      </c>
    </row>
    <row r="50" spans="1:7" ht="12.75" customHeight="1" thickBot="1">
      <c r="A50" s="1448" t="s">
        <v>430</v>
      </c>
      <c r="B50" s="1253">
        <v>577</v>
      </c>
      <c r="C50" s="1450">
        <f>B50/B32*100</f>
        <v>3.8849986533800158</v>
      </c>
      <c r="D50" s="1253" t="s">
        <v>384</v>
      </c>
      <c r="E50" s="1450" t="s">
        <v>384</v>
      </c>
      <c r="F50" s="1253" t="s">
        <v>384</v>
      </c>
      <c r="G50" s="1450" t="s">
        <v>345</v>
      </c>
    </row>
    <row r="51" spans="1:7">
      <c r="A51" s="1451" t="s">
        <v>2768</v>
      </c>
      <c r="F51" s="1457"/>
    </row>
    <row r="52" spans="1:7">
      <c r="A52" s="1236" t="s">
        <v>2769</v>
      </c>
    </row>
    <row r="53" spans="1:7">
      <c r="A53" s="1236" t="s">
        <v>2770</v>
      </c>
    </row>
    <row r="54" spans="1:7">
      <c r="A54" s="1236" t="s">
        <v>2771</v>
      </c>
    </row>
    <row r="55" spans="1:7">
      <c r="A55" s="1236" t="s">
        <v>2772</v>
      </c>
    </row>
  </sheetData>
  <mergeCells count="8">
    <mergeCell ref="A2:A3"/>
    <mergeCell ref="B2:C2"/>
    <mergeCell ref="D2:E2"/>
    <mergeCell ref="F2:G2"/>
    <mergeCell ref="A30:A31"/>
    <mergeCell ref="B30:C30"/>
    <mergeCell ref="D30:E30"/>
    <mergeCell ref="F30:G30"/>
  </mergeCells>
  <phoneticPr fontId="4"/>
  <pageMargins left="0.7" right="0.7" top="0.75" bottom="0.75" header="0.3" footer="0.3"/>
  <pageSetup paperSize="9" scale="9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14DB8-C316-417E-AAB9-7250AECF8226}">
  <sheetPr codeName="Sheet107"/>
  <dimension ref="A1:Q29"/>
  <sheetViews>
    <sheetView zoomScaleNormal="100" workbookViewId="0"/>
  </sheetViews>
  <sheetFormatPr defaultRowHeight="10.8"/>
  <cols>
    <col min="1" max="1" width="11" style="1236" customWidth="1"/>
    <col min="2" max="2" width="5.296875" style="1236" customWidth="1"/>
    <col min="3" max="3" width="8.8984375" style="1236" customWidth="1"/>
    <col min="4" max="4" width="5.296875" style="1236" customWidth="1"/>
    <col min="5" max="5" width="8.8984375" style="1236" customWidth="1"/>
    <col min="6" max="6" width="5.296875" style="1236" customWidth="1"/>
    <col min="7" max="7" width="8.8984375" style="1236" customWidth="1"/>
    <col min="8" max="8" width="5.296875" style="1236" customWidth="1"/>
    <col min="9" max="9" width="8.8984375" style="1236" customWidth="1"/>
    <col min="10" max="10" width="5.296875" style="1236" customWidth="1"/>
    <col min="11" max="11" width="8.8984375" style="1236" customWidth="1"/>
    <col min="12" max="12" width="8.796875" style="1236"/>
    <col min="13" max="14" width="8.09765625" style="1236" customWidth="1"/>
    <col min="15" max="15" width="8.796875" style="1236"/>
    <col min="16" max="16" width="21.296875" style="1236" bestFit="1" customWidth="1"/>
    <col min="17" max="17" width="32.5" style="1236" bestFit="1" customWidth="1"/>
    <col min="18" max="250" width="8.796875" style="1236"/>
    <col min="251" max="251" width="9.3984375" style="1236" customWidth="1"/>
    <col min="252" max="257" width="0" style="1236" hidden="1" customWidth="1"/>
    <col min="258" max="258" width="5.5" style="1236" bestFit="1" customWidth="1"/>
    <col min="259" max="259" width="8.19921875" style="1236" customWidth="1"/>
    <col min="260" max="260" width="5.3984375" style="1236" bestFit="1" customWidth="1"/>
    <col min="261" max="261" width="8.19921875" style="1236" customWidth="1"/>
    <col min="262" max="262" width="5.3984375" style="1236" bestFit="1" customWidth="1"/>
    <col min="263" max="265" width="8.19921875" style="1236" customWidth="1"/>
    <col min="266" max="266" width="5.3984375" style="1236" customWidth="1"/>
    <col min="267" max="267" width="8.796875" style="1236" bestFit="1"/>
    <col min="268" max="271" width="8.796875" style="1236"/>
    <col min="272" max="272" width="21.296875" style="1236" bestFit="1" customWidth="1"/>
    <col min="273" max="273" width="32.5" style="1236" bestFit="1" customWidth="1"/>
    <col min="274" max="506" width="8.796875" style="1236"/>
    <col min="507" max="507" width="9.3984375" style="1236" customWidth="1"/>
    <col min="508" max="513" width="0" style="1236" hidden="1" customWidth="1"/>
    <col min="514" max="514" width="5.5" style="1236" bestFit="1" customWidth="1"/>
    <col min="515" max="515" width="8.19921875" style="1236" customWidth="1"/>
    <col min="516" max="516" width="5.3984375" style="1236" bestFit="1" customWidth="1"/>
    <col min="517" max="517" width="8.19921875" style="1236" customWidth="1"/>
    <col min="518" max="518" width="5.3984375" style="1236" bestFit="1" customWidth="1"/>
    <col min="519" max="521" width="8.19921875" style="1236" customWidth="1"/>
    <col min="522" max="522" width="5.3984375" style="1236" customWidth="1"/>
    <col min="523" max="523" width="8.796875" style="1236" bestFit="1"/>
    <col min="524" max="527" width="8.796875" style="1236"/>
    <col min="528" max="528" width="21.296875" style="1236" bestFit="1" customWidth="1"/>
    <col min="529" max="529" width="32.5" style="1236" bestFit="1" customWidth="1"/>
    <col min="530" max="762" width="8.796875" style="1236"/>
    <col min="763" max="763" width="9.3984375" style="1236" customWidth="1"/>
    <col min="764" max="769" width="0" style="1236" hidden="1" customWidth="1"/>
    <col min="770" max="770" width="5.5" style="1236" bestFit="1" customWidth="1"/>
    <col min="771" max="771" width="8.19921875" style="1236" customWidth="1"/>
    <col min="772" max="772" width="5.3984375" style="1236" bestFit="1" customWidth="1"/>
    <col min="773" max="773" width="8.19921875" style="1236" customWidth="1"/>
    <col min="774" max="774" width="5.3984375" style="1236" bestFit="1" customWidth="1"/>
    <col min="775" max="777" width="8.19921875" style="1236" customWidth="1"/>
    <col min="778" max="778" width="5.3984375" style="1236" customWidth="1"/>
    <col min="779" max="779" width="8.796875" style="1236" bestFit="1"/>
    <col min="780" max="783" width="8.796875" style="1236"/>
    <col min="784" max="784" width="21.296875" style="1236" bestFit="1" customWidth="1"/>
    <col min="785" max="785" width="32.5" style="1236" bestFit="1" customWidth="1"/>
    <col min="786" max="1018" width="8.796875" style="1236"/>
    <col min="1019" max="1019" width="9.3984375" style="1236" customWidth="1"/>
    <col min="1020" max="1025" width="0" style="1236" hidden="1" customWidth="1"/>
    <col min="1026" max="1026" width="5.5" style="1236" bestFit="1" customWidth="1"/>
    <col min="1027" max="1027" width="8.19921875" style="1236" customWidth="1"/>
    <col min="1028" max="1028" width="5.3984375" style="1236" bestFit="1" customWidth="1"/>
    <col min="1029" max="1029" width="8.19921875" style="1236" customWidth="1"/>
    <col min="1030" max="1030" width="5.3984375" style="1236" bestFit="1" customWidth="1"/>
    <col min="1031" max="1033" width="8.19921875" style="1236" customWidth="1"/>
    <col min="1034" max="1034" width="5.3984375" style="1236" customWidth="1"/>
    <col min="1035" max="1035" width="8.796875" style="1236" bestFit="1"/>
    <col min="1036" max="1039" width="8.796875" style="1236"/>
    <col min="1040" max="1040" width="21.296875" style="1236" bestFit="1" customWidth="1"/>
    <col min="1041" max="1041" width="32.5" style="1236" bestFit="1" customWidth="1"/>
    <col min="1042" max="1274" width="8.796875" style="1236"/>
    <col min="1275" max="1275" width="9.3984375" style="1236" customWidth="1"/>
    <col min="1276" max="1281" width="0" style="1236" hidden="1" customWidth="1"/>
    <col min="1282" max="1282" width="5.5" style="1236" bestFit="1" customWidth="1"/>
    <col min="1283" max="1283" width="8.19921875" style="1236" customWidth="1"/>
    <col min="1284" max="1284" width="5.3984375" style="1236" bestFit="1" customWidth="1"/>
    <col min="1285" max="1285" width="8.19921875" style="1236" customWidth="1"/>
    <col min="1286" max="1286" width="5.3984375" style="1236" bestFit="1" customWidth="1"/>
    <col min="1287" max="1289" width="8.19921875" style="1236" customWidth="1"/>
    <col min="1290" max="1290" width="5.3984375" style="1236" customWidth="1"/>
    <col min="1291" max="1291" width="8.796875" style="1236" bestFit="1"/>
    <col min="1292" max="1295" width="8.796875" style="1236"/>
    <col min="1296" max="1296" width="21.296875" style="1236" bestFit="1" customWidth="1"/>
    <col min="1297" max="1297" width="32.5" style="1236" bestFit="1" customWidth="1"/>
    <col min="1298" max="1530" width="8.796875" style="1236"/>
    <col min="1531" max="1531" width="9.3984375" style="1236" customWidth="1"/>
    <col min="1532" max="1537" width="0" style="1236" hidden="1" customWidth="1"/>
    <col min="1538" max="1538" width="5.5" style="1236" bestFit="1" customWidth="1"/>
    <col min="1539" max="1539" width="8.19921875" style="1236" customWidth="1"/>
    <col min="1540" max="1540" width="5.3984375" style="1236" bestFit="1" customWidth="1"/>
    <col min="1541" max="1541" width="8.19921875" style="1236" customWidth="1"/>
    <col min="1542" max="1542" width="5.3984375" style="1236" bestFit="1" customWidth="1"/>
    <col min="1543" max="1545" width="8.19921875" style="1236" customWidth="1"/>
    <col min="1546" max="1546" width="5.3984375" style="1236" customWidth="1"/>
    <col min="1547" max="1547" width="8.796875" style="1236" bestFit="1"/>
    <col min="1548" max="1551" width="8.796875" style="1236"/>
    <col min="1552" max="1552" width="21.296875" style="1236" bestFit="1" customWidth="1"/>
    <col min="1553" max="1553" width="32.5" style="1236" bestFit="1" customWidth="1"/>
    <col min="1554" max="1786" width="8.796875" style="1236"/>
    <col min="1787" max="1787" width="9.3984375" style="1236" customWidth="1"/>
    <col min="1788" max="1793" width="0" style="1236" hidden="1" customWidth="1"/>
    <col min="1794" max="1794" width="5.5" style="1236" bestFit="1" customWidth="1"/>
    <col min="1795" max="1795" width="8.19921875" style="1236" customWidth="1"/>
    <col min="1796" max="1796" width="5.3984375" style="1236" bestFit="1" customWidth="1"/>
    <col min="1797" max="1797" width="8.19921875" style="1236" customWidth="1"/>
    <col min="1798" max="1798" width="5.3984375" style="1236" bestFit="1" customWidth="1"/>
    <col min="1799" max="1801" width="8.19921875" style="1236" customWidth="1"/>
    <col min="1802" max="1802" width="5.3984375" style="1236" customWidth="1"/>
    <col min="1803" max="1803" width="8.796875" style="1236" bestFit="1"/>
    <col min="1804" max="1807" width="8.796875" style="1236"/>
    <col min="1808" max="1808" width="21.296875" style="1236" bestFit="1" customWidth="1"/>
    <col min="1809" max="1809" width="32.5" style="1236" bestFit="1" customWidth="1"/>
    <col min="1810" max="2042" width="8.796875" style="1236"/>
    <col min="2043" max="2043" width="9.3984375" style="1236" customWidth="1"/>
    <col min="2044" max="2049" width="0" style="1236" hidden="1" customWidth="1"/>
    <col min="2050" max="2050" width="5.5" style="1236" bestFit="1" customWidth="1"/>
    <col min="2051" max="2051" width="8.19921875" style="1236" customWidth="1"/>
    <col min="2052" max="2052" width="5.3984375" style="1236" bestFit="1" customWidth="1"/>
    <col min="2053" max="2053" width="8.19921875" style="1236" customWidth="1"/>
    <col min="2054" max="2054" width="5.3984375" style="1236" bestFit="1" customWidth="1"/>
    <col min="2055" max="2057" width="8.19921875" style="1236" customWidth="1"/>
    <col min="2058" max="2058" width="5.3984375" style="1236" customWidth="1"/>
    <col min="2059" max="2059" width="8.796875" style="1236" bestFit="1"/>
    <col min="2060" max="2063" width="8.796875" style="1236"/>
    <col min="2064" max="2064" width="21.296875" style="1236" bestFit="1" customWidth="1"/>
    <col min="2065" max="2065" width="32.5" style="1236" bestFit="1" customWidth="1"/>
    <col min="2066" max="2298" width="8.796875" style="1236"/>
    <col min="2299" max="2299" width="9.3984375" style="1236" customWidth="1"/>
    <col min="2300" max="2305" width="0" style="1236" hidden="1" customWidth="1"/>
    <col min="2306" max="2306" width="5.5" style="1236" bestFit="1" customWidth="1"/>
    <col min="2307" max="2307" width="8.19921875" style="1236" customWidth="1"/>
    <col min="2308" max="2308" width="5.3984375" style="1236" bestFit="1" customWidth="1"/>
    <col min="2309" max="2309" width="8.19921875" style="1236" customWidth="1"/>
    <col min="2310" max="2310" width="5.3984375" style="1236" bestFit="1" customWidth="1"/>
    <col min="2311" max="2313" width="8.19921875" style="1236" customWidth="1"/>
    <col min="2314" max="2314" width="5.3984375" style="1236" customWidth="1"/>
    <col min="2315" max="2315" width="8.796875" style="1236" bestFit="1"/>
    <col min="2316" max="2319" width="8.796875" style="1236"/>
    <col min="2320" max="2320" width="21.296875" style="1236" bestFit="1" customWidth="1"/>
    <col min="2321" max="2321" width="32.5" style="1236" bestFit="1" customWidth="1"/>
    <col min="2322" max="2554" width="8.796875" style="1236"/>
    <col min="2555" max="2555" width="9.3984375" style="1236" customWidth="1"/>
    <col min="2556" max="2561" width="0" style="1236" hidden="1" customWidth="1"/>
    <col min="2562" max="2562" width="5.5" style="1236" bestFit="1" customWidth="1"/>
    <col min="2563" max="2563" width="8.19921875" style="1236" customWidth="1"/>
    <col min="2564" max="2564" width="5.3984375" style="1236" bestFit="1" customWidth="1"/>
    <col min="2565" max="2565" width="8.19921875" style="1236" customWidth="1"/>
    <col min="2566" max="2566" width="5.3984375" style="1236" bestFit="1" customWidth="1"/>
    <col min="2567" max="2569" width="8.19921875" style="1236" customWidth="1"/>
    <col min="2570" max="2570" width="5.3984375" style="1236" customWidth="1"/>
    <col min="2571" max="2571" width="8.796875" style="1236" bestFit="1"/>
    <col min="2572" max="2575" width="8.796875" style="1236"/>
    <col min="2576" max="2576" width="21.296875" style="1236" bestFit="1" customWidth="1"/>
    <col min="2577" max="2577" width="32.5" style="1236" bestFit="1" customWidth="1"/>
    <col min="2578" max="2810" width="8.796875" style="1236"/>
    <col min="2811" max="2811" width="9.3984375" style="1236" customWidth="1"/>
    <col min="2812" max="2817" width="0" style="1236" hidden="1" customWidth="1"/>
    <col min="2818" max="2818" width="5.5" style="1236" bestFit="1" customWidth="1"/>
    <col min="2819" max="2819" width="8.19921875" style="1236" customWidth="1"/>
    <col min="2820" max="2820" width="5.3984375" style="1236" bestFit="1" customWidth="1"/>
    <col min="2821" max="2821" width="8.19921875" style="1236" customWidth="1"/>
    <col min="2822" max="2822" width="5.3984375" style="1236" bestFit="1" customWidth="1"/>
    <col min="2823" max="2825" width="8.19921875" style="1236" customWidth="1"/>
    <col min="2826" max="2826" width="5.3984375" style="1236" customWidth="1"/>
    <col min="2827" max="2827" width="8.796875" style="1236" bestFit="1"/>
    <col min="2828" max="2831" width="8.796875" style="1236"/>
    <col min="2832" max="2832" width="21.296875" style="1236" bestFit="1" customWidth="1"/>
    <col min="2833" max="2833" width="32.5" style="1236" bestFit="1" customWidth="1"/>
    <col min="2834" max="3066" width="8.796875" style="1236"/>
    <col min="3067" max="3067" width="9.3984375" style="1236" customWidth="1"/>
    <col min="3068" max="3073" width="0" style="1236" hidden="1" customWidth="1"/>
    <col min="3074" max="3074" width="5.5" style="1236" bestFit="1" customWidth="1"/>
    <col min="3075" max="3075" width="8.19921875" style="1236" customWidth="1"/>
    <col min="3076" max="3076" width="5.3984375" style="1236" bestFit="1" customWidth="1"/>
    <col min="3077" max="3077" width="8.19921875" style="1236" customWidth="1"/>
    <col min="3078" max="3078" width="5.3984375" style="1236" bestFit="1" customWidth="1"/>
    <col min="3079" max="3081" width="8.19921875" style="1236" customWidth="1"/>
    <col min="3082" max="3082" width="5.3984375" style="1236" customWidth="1"/>
    <col min="3083" max="3083" width="8.796875" style="1236" bestFit="1"/>
    <col min="3084" max="3087" width="8.796875" style="1236"/>
    <col min="3088" max="3088" width="21.296875" style="1236" bestFit="1" customWidth="1"/>
    <col min="3089" max="3089" width="32.5" style="1236" bestFit="1" customWidth="1"/>
    <col min="3090" max="3322" width="8.796875" style="1236"/>
    <col min="3323" max="3323" width="9.3984375" style="1236" customWidth="1"/>
    <col min="3324" max="3329" width="0" style="1236" hidden="1" customWidth="1"/>
    <col min="3330" max="3330" width="5.5" style="1236" bestFit="1" customWidth="1"/>
    <col min="3331" max="3331" width="8.19921875" style="1236" customWidth="1"/>
    <col min="3332" max="3332" width="5.3984375" style="1236" bestFit="1" customWidth="1"/>
    <col min="3333" max="3333" width="8.19921875" style="1236" customWidth="1"/>
    <col min="3334" max="3334" width="5.3984375" style="1236" bestFit="1" customWidth="1"/>
    <col min="3335" max="3337" width="8.19921875" style="1236" customWidth="1"/>
    <col min="3338" max="3338" width="5.3984375" style="1236" customWidth="1"/>
    <col min="3339" max="3339" width="8.796875" style="1236" bestFit="1"/>
    <col min="3340" max="3343" width="8.796875" style="1236"/>
    <col min="3344" max="3344" width="21.296875" style="1236" bestFit="1" customWidth="1"/>
    <col min="3345" max="3345" width="32.5" style="1236" bestFit="1" customWidth="1"/>
    <col min="3346" max="3578" width="8.796875" style="1236"/>
    <col min="3579" max="3579" width="9.3984375" style="1236" customWidth="1"/>
    <col min="3580" max="3585" width="0" style="1236" hidden="1" customWidth="1"/>
    <col min="3586" max="3586" width="5.5" style="1236" bestFit="1" customWidth="1"/>
    <col min="3587" max="3587" width="8.19921875" style="1236" customWidth="1"/>
    <col min="3588" max="3588" width="5.3984375" style="1236" bestFit="1" customWidth="1"/>
    <col min="3589" max="3589" width="8.19921875" style="1236" customWidth="1"/>
    <col min="3590" max="3590" width="5.3984375" style="1236" bestFit="1" customWidth="1"/>
    <col min="3591" max="3593" width="8.19921875" style="1236" customWidth="1"/>
    <col min="3594" max="3594" width="5.3984375" style="1236" customWidth="1"/>
    <col min="3595" max="3595" width="8.796875" style="1236" bestFit="1"/>
    <col min="3596" max="3599" width="8.796875" style="1236"/>
    <col min="3600" max="3600" width="21.296875" style="1236" bestFit="1" customWidth="1"/>
    <col min="3601" max="3601" width="32.5" style="1236" bestFit="1" customWidth="1"/>
    <col min="3602" max="3834" width="8.796875" style="1236"/>
    <col min="3835" max="3835" width="9.3984375" style="1236" customWidth="1"/>
    <col min="3836" max="3841" width="0" style="1236" hidden="1" customWidth="1"/>
    <col min="3842" max="3842" width="5.5" style="1236" bestFit="1" customWidth="1"/>
    <col min="3843" max="3843" width="8.19921875" style="1236" customWidth="1"/>
    <col min="3844" max="3844" width="5.3984375" style="1236" bestFit="1" customWidth="1"/>
    <col min="3845" max="3845" width="8.19921875" style="1236" customWidth="1"/>
    <col min="3846" max="3846" width="5.3984375" style="1236" bestFit="1" customWidth="1"/>
    <col min="3847" max="3849" width="8.19921875" style="1236" customWidth="1"/>
    <col min="3850" max="3850" width="5.3984375" style="1236" customWidth="1"/>
    <col min="3851" max="3851" width="8.796875" style="1236" bestFit="1"/>
    <col min="3852" max="3855" width="8.796875" style="1236"/>
    <col min="3856" max="3856" width="21.296875" style="1236" bestFit="1" customWidth="1"/>
    <col min="3857" max="3857" width="32.5" style="1236" bestFit="1" customWidth="1"/>
    <col min="3858" max="4090" width="8.796875" style="1236"/>
    <col min="4091" max="4091" width="9.3984375" style="1236" customWidth="1"/>
    <col min="4092" max="4097" width="0" style="1236" hidden="1" customWidth="1"/>
    <col min="4098" max="4098" width="5.5" style="1236" bestFit="1" customWidth="1"/>
    <col min="4099" max="4099" width="8.19921875" style="1236" customWidth="1"/>
    <col min="4100" max="4100" width="5.3984375" style="1236" bestFit="1" customWidth="1"/>
    <col min="4101" max="4101" width="8.19921875" style="1236" customWidth="1"/>
    <col min="4102" max="4102" width="5.3984375" style="1236" bestFit="1" customWidth="1"/>
    <col min="4103" max="4105" width="8.19921875" style="1236" customWidth="1"/>
    <col min="4106" max="4106" width="5.3984375" style="1236" customWidth="1"/>
    <col min="4107" max="4107" width="8.796875" style="1236" bestFit="1"/>
    <col min="4108" max="4111" width="8.796875" style="1236"/>
    <col min="4112" max="4112" width="21.296875" style="1236" bestFit="1" customWidth="1"/>
    <col min="4113" max="4113" width="32.5" style="1236" bestFit="1" customWidth="1"/>
    <col min="4114" max="4346" width="8.796875" style="1236"/>
    <col min="4347" max="4347" width="9.3984375" style="1236" customWidth="1"/>
    <col min="4348" max="4353" width="0" style="1236" hidden="1" customWidth="1"/>
    <col min="4354" max="4354" width="5.5" style="1236" bestFit="1" customWidth="1"/>
    <col min="4355" max="4355" width="8.19921875" style="1236" customWidth="1"/>
    <col min="4356" max="4356" width="5.3984375" style="1236" bestFit="1" customWidth="1"/>
    <col min="4357" max="4357" width="8.19921875" style="1236" customWidth="1"/>
    <col min="4358" max="4358" width="5.3984375" style="1236" bestFit="1" customWidth="1"/>
    <col min="4359" max="4361" width="8.19921875" style="1236" customWidth="1"/>
    <col min="4362" max="4362" width="5.3984375" style="1236" customWidth="1"/>
    <col min="4363" max="4363" width="8.796875" style="1236" bestFit="1"/>
    <col min="4364" max="4367" width="8.796875" style="1236"/>
    <col min="4368" max="4368" width="21.296875" style="1236" bestFit="1" customWidth="1"/>
    <col min="4369" max="4369" width="32.5" style="1236" bestFit="1" customWidth="1"/>
    <col min="4370" max="4602" width="8.796875" style="1236"/>
    <col min="4603" max="4603" width="9.3984375" style="1236" customWidth="1"/>
    <col min="4604" max="4609" width="0" style="1236" hidden="1" customWidth="1"/>
    <col min="4610" max="4610" width="5.5" style="1236" bestFit="1" customWidth="1"/>
    <col min="4611" max="4611" width="8.19921875" style="1236" customWidth="1"/>
    <col min="4612" max="4612" width="5.3984375" style="1236" bestFit="1" customWidth="1"/>
    <col min="4613" max="4613" width="8.19921875" style="1236" customWidth="1"/>
    <col min="4614" max="4614" width="5.3984375" style="1236" bestFit="1" customWidth="1"/>
    <col min="4615" max="4617" width="8.19921875" style="1236" customWidth="1"/>
    <col min="4618" max="4618" width="5.3984375" style="1236" customWidth="1"/>
    <col min="4619" max="4619" width="8.796875" style="1236" bestFit="1"/>
    <col min="4620" max="4623" width="8.796875" style="1236"/>
    <col min="4624" max="4624" width="21.296875" style="1236" bestFit="1" customWidth="1"/>
    <col min="4625" max="4625" width="32.5" style="1236" bestFit="1" customWidth="1"/>
    <col min="4626" max="4858" width="8.796875" style="1236"/>
    <col min="4859" max="4859" width="9.3984375" style="1236" customWidth="1"/>
    <col min="4860" max="4865" width="0" style="1236" hidden="1" customWidth="1"/>
    <col min="4866" max="4866" width="5.5" style="1236" bestFit="1" customWidth="1"/>
    <col min="4867" max="4867" width="8.19921875" style="1236" customWidth="1"/>
    <col min="4868" max="4868" width="5.3984375" style="1236" bestFit="1" customWidth="1"/>
    <col min="4869" max="4869" width="8.19921875" style="1236" customWidth="1"/>
    <col min="4870" max="4870" width="5.3984375" style="1236" bestFit="1" customWidth="1"/>
    <col min="4871" max="4873" width="8.19921875" style="1236" customWidth="1"/>
    <col min="4874" max="4874" width="5.3984375" style="1236" customWidth="1"/>
    <col min="4875" max="4875" width="8.796875" style="1236" bestFit="1"/>
    <col min="4876" max="4879" width="8.796875" style="1236"/>
    <col min="4880" max="4880" width="21.296875" style="1236" bestFit="1" customWidth="1"/>
    <col min="4881" max="4881" width="32.5" style="1236" bestFit="1" customWidth="1"/>
    <col min="4882" max="5114" width="8.796875" style="1236"/>
    <col min="5115" max="5115" width="9.3984375" style="1236" customWidth="1"/>
    <col min="5116" max="5121" width="0" style="1236" hidden="1" customWidth="1"/>
    <col min="5122" max="5122" width="5.5" style="1236" bestFit="1" customWidth="1"/>
    <col min="5123" max="5123" width="8.19921875" style="1236" customWidth="1"/>
    <col min="5124" max="5124" width="5.3984375" style="1236" bestFit="1" customWidth="1"/>
    <col min="5125" max="5125" width="8.19921875" style="1236" customWidth="1"/>
    <col min="5126" max="5126" width="5.3984375" style="1236" bestFit="1" customWidth="1"/>
    <col min="5127" max="5129" width="8.19921875" style="1236" customWidth="1"/>
    <col min="5130" max="5130" width="5.3984375" style="1236" customWidth="1"/>
    <col min="5131" max="5131" width="8.796875" style="1236" bestFit="1"/>
    <col min="5132" max="5135" width="8.796875" style="1236"/>
    <col min="5136" max="5136" width="21.296875" style="1236" bestFit="1" customWidth="1"/>
    <col min="5137" max="5137" width="32.5" style="1236" bestFit="1" customWidth="1"/>
    <col min="5138" max="5370" width="8.796875" style="1236"/>
    <col min="5371" max="5371" width="9.3984375" style="1236" customWidth="1"/>
    <col min="5372" max="5377" width="0" style="1236" hidden="1" customWidth="1"/>
    <col min="5378" max="5378" width="5.5" style="1236" bestFit="1" customWidth="1"/>
    <col min="5379" max="5379" width="8.19921875" style="1236" customWidth="1"/>
    <col min="5380" max="5380" width="5.3984375" style="1236" bestFit="1" customWidth="1"/>
    <col min="5381" max="5381" width="8.19921875" style="1236" customWidth="1"/>
    <col min="5382" max="5382" width="5.3984375" style="1236" bestFit="1" customWidth="1"/>
    <col min="5383" max="5385" width="8.19921875" style="1236" customWidth="1"/>
    <col min="5386" max="5386" width="5.3984375" style="1236" customWidth="1"/>
    <col min="5387" max="5387" width="8.796875" style="1236" bestFit="1"/>
    <col min="5388" max="5391" width="8.796875" style="1236"/>
    <col min="5392" max="5392" width="21.296875" style="1236" bestFit="1" customWidth="1"/>
    <col min="5393" max="5393" width="32.5" style="1236" bestFit="1" customWidth="1"/>
    <col min="5394" max="5626" width="8.796875" style="1236"/>
    <col min="5627" max="5627" width="9.3984375" style="1236" customWidth="1"/>
    <col min="5628" max="5633" width="0" style="1236" hidden="1" customWidth="1"/>
    <col min="5634" max="5634" width="5.5" style="1236" bestFit="1" customWidth="1"/>
    <col min="5635" max="5635" width="8.19921875" style="1236" customWidth="1"/>
    <col min="5636" max="5636" width="5.3984375" style="1236" bestFit="1" customWidth="1"/>
    <col min="5637" max="5637" width="8.19921875" style="1236" customWidth="1"/>
    <col min="5638" max="5638" width="5.3984375" style="1236" bestFit="1" customWidth="1"/>
    <col min="5639" max="5641" width="8.19921875" style="1236" customWidth="1"/>
    <col min="5642" max="5642" width="5.3984375" style="1236" customWidth="1"/>
    <col min="5643" max="5643" width="8.796875" style="1236" bestFit="1"/>
    <col min="5644" max="5647" width="8.796875" style="1236"/>
    <col min="5648" max="5648" width="21.296875" style="1236" bestFit="1" customWidth="1"/>
    <col min="5649" max="5649" width="32.5" style="1236" bestFit="1" customWidth="1"/>
    <col min="5650" max="5882" width="8.796875" style="1236"/>
    <col min="5883" max="5883" width="9.3984375" style="1236" customWidth="1"/>
    <col min="5884" max="5889" width="0" style="1236" hidden="1" customWidth="1"/>
    <col min="5890" max="5890" width="5.5" style="1236" bestFit="1" customWidth="1"/>
    <col min="5891" max="5891" width="8.19921875" style="1236" customWidth="1"/>
    <col min="5892" max="5892" width="5.3984375" style="1236" bestFit="1" customWidth="1"/>
    <col min="5893" max="5893" width="8.19921875" style="1236" customWidth="1"/>
    <col min="5894" max="5894" width="5.3984375" style="1236" bestFit="1" customWidth="1"/>
    <col min="5895" max="5897" width="8.19921875" style="1236" customWidth="1"/>
    <col min="5898" max="5898" width="5.3984375" style="1236" customWidth="1"/>
    <col min="5899" max="5899" width="8.796875" style="1236" bestFit="1"/>
    <col min="5900" max="5903" width="8.796875" style="1236"/>
    <col min="5904" max="5904" width="21.296875" style="1236" bestFit="1" customWidth="1"/>
    <col min="5905" max="5905" width="32.5" style="1236" bestFit="1" customWidth="1"/>
    <col min="5906" max="6138" width="8.796875" style="1236"/>
    <col min="6139" max="6139" width="9.3984375" style="1236" customWidth="1"/>
    <col min="6140" max="6145" width="0" style="1236" hidden="1" customWidth="1"/>
    <col min="6146" max="6146" width="5.5" style="1236" bestFit="1" customWidth="1"/>
    <col min="6147" max="6147" width="8.19921875" style="1236" customWidth="1"/>
    <col min="6148" max="6148" width="5.3984375" style="1236" bestFit="1" customWidth="1"/>
    <col min="6149" max="6149" width="8.19921875" style="1236" customWidth="1"/>
    <col min="6150" max="6150" width="5.3984375" style="1236" bestFit="1" customWidth="1"/>
    <col min="6151" max="6153" width="8.19921875" style="1236" customWidth="1"/>
    <col min="6154" max="6154" width="5.3984375" style="1236" customWidth="1"/>
    <col min="6155" max="6155" width="8.796875" style="1236" bestFit="1"/>
    <col min="6156" max="6159" width="8.796875" style="1236"/>
    <col min="6160" max="6160" width="21.296875" style="1236" bestFit="1" customWidth="1"/>
    <col min="6161" max="6161" width="32.5" style="1236" bestFit="1" customWidth="1"/>
    <col min="6162" max="6394" width="8.796875" style="1236"/>
    <col min="6395" max="6395" width="9.3984375" style="1236" customWidth="1"/>
    <col min="6396" max="6401" width="0" style="1236" hidden="1" customWidth="1"/>
    <col min="6402" max="6402" width="5.5" style="1236" bestFit="1" customWidth="1"/>
    <col min="6403" max="6403" width="8.19921875" style="1236" customWidth="1"/>
    <col min="6404" max="6404" width="5.3984375" style="1236" bestFit="1" customWidth="1"/>
    <col min="6405" max="6405" width="8.19921875" style="1236" customWidth="1"/>
    <col min="6406" max="6406" width="5.3984375" style="1236" bestFit="1" customWidth="1"/>
    <col min="6407" max="6409" width="8.19921875" style="1236" customWidth="1"/>
    <col min="6410" max="6410" width="5.3984375" style="1236" customWidth="1"/>
    <col min="6411" max="6411" width="8.796875" style="1236" bestFit="1"/>
    <col min="6412" max="6415" width="8.796875" style="1236"/>
    <col min="6416" max="6416" width="21.296875" style="1236" bestFit="1" customWidth="1"/>
    <col min="6417" max="6417" width="32.5" style="1236" bestFit="1" customWidth="1"/>
    <col min="6418" max="6650" width="8.796875" style="1236"/>
    <col min="6651" max="6651" width="9.3984375" style="1236" customWidth="1"/>
    <col min="6652" max="6657" width="0" style="1236" hidden="1" customWidth="1"/>
    <col min="6658" max="6658" width="5.5" style="1236" bestFit="1" customWidth="1"/>
    <col min="6659" max="6659" width="8.19921875" style="1236" customWidth="1"/>
    <col min="6660" max="6660" width="5.3984375" style="1236" bestFit="1" customWidth="1"/>
    <col min="6661" max="6661" width="8.19921875" style="1236" customWidth="1"/>
    <col min="6662" max="6662" width="5.3984375" style="1236" bestFit="1" customWidth="1"/>
    <col min="6663" max="6665" width="8.19921875" style="1236" customWidth="1"/>
    <col min="6666" max="6666" width="5.3984375" style="1236" customWidth="1"/>
    <col min="6667" max="6667" width="8.796875" style="1236" bestFit="1"/>
    <col min="6668" max="6671" width="8.796875" style="1236"/>
    <col min="6672" max="6672" width="21.296875" style="1236" bestFit="1" customWidth="1"/>
    <col min="6673" max="6673" width="32.5" style="1236" bestFit="1" customWidth="1"/>
    <col min="6674" max="6906" width="8.796875" style="1236"/>
    <col min="6907" max="6907" width="9.3984375" style="1236" customWidth="1"/>
    <col min="6908" max="6913" width="0" style="1236" hidden="1" customWidth="1"/>
    <col min="6914" max="6914" width="5.5" style="1236" bestFit="1" customWidth="1"/>
    <col min="6915" max="6915" width="8.19921875" style="1236" customWidth="1"/>
    <col min="6916" max="6916" width="5.3984375" style="1236" bestFit="1" customWidth="1"/>
    <col min="6917" max="6917" width="8.19921875" style="1236" customWidth="1"/>
    <col min="6918" max="6918" width="5.3984375" style="1236" bestFit="1" customWidth="1"/>
    <col min="6919" max="6921" width="8.19921875" style="1236" customWidth="1"/>
    <col min="6922" max="6922" width="5.3984375" style="1236" customWidth="1"/>
    <col min="6923" max="6923" width="8.796875" style="1236" bestFit="1"/>
    <col min="6924" max="6927" width="8.796875" style="1236"/>
    <col min="6928" max="6928" width="21.296875" style="1236" bestFit="1" customWidth="1"/>
    <col min="6929" max="6929" width="32.5" style="1236" bestFit="1" customWidth="1"/>
    <col min="6930" max="7162" width="8.796875" style="1236"/>
    <col min="7163" max="7163" width="9.3984375" style="1236" customWidth="1"/>
    <col min="7164" max="7169" width="0" style="1236" hidden="1" customWidth="1"/>
    <col min="7170" max="7170" width="5.5" style="1236" bestFit="1" customWidth="1"/>
    <col min="7171" max="7171" width="8.19921875" style="1236" customWidth="1"/>
    <col min="7172" max="7172" width="5.3984375" style="1236" bestFit="1" customWidth="1"/>
    <col min="7173" max="7173" width="8.19921875" style="1236" customWidth="1"/>
    <col min="7174" max="7174" width="5.3984375" style="1236" bestFit="1" customWidth="1"/>
    <col min="7175" max="7177" width="8.19921875" style="1236" customWidth="1"/>
    <col min="7178" max="7178" width="5.3984375" style="1236" customWidth="1"/>
    <col min="7179" max="7179" width="8.796875" style="1236" bestFit="1"/>
    <col min="7180" max="7183" width="8.796875" style="1236"/>
    <col min="7184" max="7184" width="21.296875" style="1236" bestFit="1" customWidth="1"/>
    <col min="7185" max="7185" width="32.5" style="1236" bestFit="1" customWidth="1"/>
    <col min="7186" max="7418" width="8.796875" style="1236"/>
    <col min="7419" max="7419" width="9.3984375" style="1236" customWidth="1"/>
    <col min="7420" max="7425" width="0" style="1236" hidden="1" customWidth="1"/>
    <col min="7426" max="7426" width="5.5" style="1236" bestFit="1" customWidth="1"/>
    <col min="7427" max="7427" width="8.19921875" style="1236" customWidth="1"/>
    <col min="7428" max="7428" width="5.3984375" style="1236" bestFit="1" customWidth="1"/>
    <col min="7429" max="7429" width="8.19921875" style="1236" customWidth="1"/>
    <col min="7430" max="7430" width="5.3984375" style="1236" bestFit="1" customWidth="1"/>
    <col min="7431" max="7433" width="8.19921875" style="1236" customWidth="1"/>
    <col min="7434" max="7434" width="5.3984375" style="1236" customWidth="1"/>
    <col min="7435" max="7435" width="8.796875" style="1236" bestFit="1"/>
    <col min="7436" max="7439" width="8.796875" style="1236"/>
    <col min="7440" max="7440" width="21.296875" style="1236" bestFit="1" customWidth="1"/>
    <col min="7441" max="7441" width="32.5" style="1236" bestFit="1" customWidth="1"/>
    <col min="7442" max="7674" width="8.796875" style="1236"/>
    <col min="7675" max="7675" width="9.3984375" style="1236" customWidth="1"/>
    <col min="7676" max="7681" width="0" style="1236" hidden="1" customWidth="1"/>
    <col min="7682" max="7682" width="5.5" style="1236" bestFit="1" customWidth="1"/>
    <col min="7683" max="7683" width="8.19921875" style="1236" customWidth="1"/>
    <col min="7684" max="7684" width="5.3984375" style="1236" bestFit="1" customWidth="1"/>
    <col min="7685" max="7685" width="8.19921875" style="1236" customWidth="1"/>
    <col min="7686" max="7686" width="5.3984375" style="1236" bestFit="1" customWidth="1"/>
    <col min="7687" max="7689" width="8.19921875" style="1236" customWidth="1"/>
    <col min="7690" max="7690" width="5.3984375" style="1236" customWidth="1"/>
    <col min="7691" max="7691" width="8.796875" style="1236" bestFit="1"/>
    <col min="7692" max="7695" width="8.796875" style="1236"/>
    <col min="7696" max="7696" width="21.296875" style="1236" bestFit="1" customWidth="1"/>
    <col min="7697" max="7697" width="32.5" style="1236" bestFit="1" customWidth="1"/>
    <col min="7698" max="7930" width="8.796875" style="1236"/>
    <col min="7931" max="7931" width="9.3984375" style="1236" customWidth="1"/>
    <col min="7932" max="7937" width="0" style="1236" hidden="1" customWidth="1"/>
    <col min="7938" max="7938" width="5.5" style="1236" bestFit="1" customWidth="1"/>
    <col min="7939" max="7939" width="8.19921875" style="1236" customWidth="1"/>
    <col min="7940" max="7940" width="5.3984375" style="1236" bestFit="1" customWidth="1"/>
    <col min="7941" max="7941" width="8.19921875" style="1236" customWidth="1"/>
    <col min="7942" max="7942" width="5.3984375" style="1236" bestFit="1" customWidth="1"/>
    <col min="7943" max="7945" width="8.19921875" style="1236" customWidth="1"/>
    <col min="7946" max="7946" width="5.3984375" style="1236" customWidth="1"/>
    <col min="7947" max="7947" width="8.796875" style="1236" bestFit="1"/>
    <col min="7948" max="7951" width="8.796875" style="1236"/>
    <col min="7952" max="7952" width="21.296875" style="1236" bestFit="1" customWidth="1"/>
    <col min="7953" max="7953" width="32.5" style="1236" bestFit="1" customWidth="1"/>
    <col min="7954" max="8186" width="8.796875" style="1236"/>
    <col min="8187" max="8187" width="9.3984375" style="1236" customWidth="1"/>
    <col min="8188" max="8193" width="0" style="1236" hidden="1" customWidth="1"/>
    <col min="8194" max="8194" width="5.5" style="1236" bestFit="1" customWidth="1"/>
    <col min="8195" max="8195" width="8.19921875" style="1236" customWidth="1"/>
    <col min="8196" max="8196" width="5.3984375" style="1236" bestFit="1" customWidth="1"/>
    <col min="8197" max="8197" width="8.19921875" style="1236" customWidth="1"/>
    <col min="8198" max="8198" width="5.3984375" style="1236" bestFit="1" customWidth="1"/>
    <col min="8199" max="8201" width="8.19921875" style="1236" customWidth="1"/>
    <col min="8202" max="8202" width="5.3984375" style="1236" customWidth="1"/>
    <col min="8203" max="8203" width="8.796875" style="1236" bestFit="1"/>
    <col min="8204" max="8207" width="8.796875" style="1236"/>
    <col min="8208" max="8208" width="21.296875" style="1236" bestFit="1" customWidth="1"/>
    <col min="8209" max="8209" width="32.5" style="1236" bestFit="1" customWidth="1"/>
    <col min="8210" max="8442" width="8.796875" style="1236"/>
    <col min="8443" max="8443" width="9.3984375" style="1236" customWidth="1"/>
    <col min="8444" max="8449" width="0" style="1236" hidden="1" customWidth="1"/>
    <col min="8450" max="8450" width="5.5" style="1236" bestFit="1" customWidth="1"/>
    <col min="8451" max="8451" width="8.19921875" style="1236" customWidth="1"/>
    <col min="8452" max="8452" width="5.3984375" style="1236" bestFit="1" customWidth="1"/>
    <col min="8453" max="8453" width="8.19921875" style="1236" customWidth="1"/>
    <col min="8454" max="8454" width="5.3984375" style="1236" bestFit="1" customWidth="1"/>
    <col min="8455" max="8457" width="8.19921875" style="1236" customWidth="1"/>
    <col min="8458" max="8458" width="5.3984375" style="1236" customWidth="1"/>
    <col min="8459" max="8459" width="8.796875" style="1236" bestFit="1"/>
    <col min="8460" max="8463" width="8.796875" style="1236"/>
    <col min="8464" max="8464" width="21.296875" style="1236" bestFit="1" customWidth="1"/>
    <col min="8465" max="8465" width="32.5" style="1236" bestFit="1" customWidth="1"/>
    <col min="8466" max="8698" width="8.796875" style="1236"/>
    <col min="8699" max="8699" width="9.3984375" style="1236" customWidth="1"/>
    <col min="8700" max="8705" width="0" style="1236" hidden="1" customWidth="1"/>
    <col min="8706" max="8706" width="5.5" style="1236" bestFit="1" customWidth="1"/>
    <col min="8707" max="8707" width="8.19921875" style="1236" customWidth="1"/>
    <col min="8708" max="8708" width="5.3984375" style="1236" bestFit="1" customWidth="1"/>
    <col min="8709" max="8709" width="8.19921875" style="1236" customWidth="1"/>
    <col min="8710" max="8710" width="5.3984375" style="1236" bestFit="1" customWidth="1"/>
    <col min="8711" max="8713" width="8.19921875" style="1236" customWidth="1"/>
    <col min="8714" max="8714" width="5.3984375" style="1236" customWidth="1"/>
    <col min="8715" max="8715" width="8.796875" style="1236" bestFit="1"/>
    <col min="8716" max="8719" width="8.796875" style="1236"/>
    <col min="8720" max="8720" width="21.296875" style="1236" bestFit="1" customWidth="1"/>
    <col min="8721" max="8721" width="32.5" style="1236" bestFit="1" customWidth="1"/>
    <col min="8722" max="8954" width="8.796875" style="1236"/>
    <col min="8955" max="8955" width="9.3984375" style="1236" customWidth="1"/>
    <col min="8956" max="8961" width="0" style="1236" hidden="1" customWidth="1"/>
    <col min="8962" max="8962" width="5.5" style="1236" bestFit="1" customWidth="1"/>
    <col min="8963" max="8963" width="8.19921875" style="1236" customWidth="1"/>
    <col min="8964" max="8964" width="5.3984375" style="1236" bestFit="1" customWidth="1"/>
    <col min="8965" max="8965" width="8.19921875" style="1236" customWidth="1"/>
    <col min="8966" max="8966" width="5.3984375" style="1236" bestFit="1" customWidth="1"/>
    <col min="8967" max="8969" width="8.19921875" style="1236" customWidth="1"/>
    <col min="8970" max="8970" width="5.3984375" style="1236" customWidth="1"/>
    <col min="8971" max="8971" width="8.796875" style="1236" bestFit="1"/>
    <col min="8972" max="8975" width="8.796875" style="1236"/>
    <col min="8976" max="8976" width="21.296875" style="1236" bestFit="1" customWidth="1"/>
    <col min="8977" max="8977" width="32.5" style="1236" bestFit="1" customWidth="1"/>
    <col min="8978" max="9210" width="8.796875" style="1236"/>
    <col min="9211" max="9211" width="9.3984375" style="1236" customWidth="1"/>
    <col min="9212" max="9217" width="0" style="1236" hidden="1" customWidth="1"/>
    <col min="9218" max="9218" width="5.5" style="1236" bestFit="1" customWidth="1"/>
    <col min="9219" max="9219" width="8.19921875" style="1236" customWidth="1"/>
    <col min="9220" max="9220" width="5.3984375" style="1236" bestFit="1" customWidth="1"/>
    <col min="9221" max="9221" width="8.19921875" style="1236" customWidth="1"/>
    <col min="9222" max="9222" width="5.3984375" style="1236" bestFit="1" customWidth="1"/>
    <col min="9223" max="9225" width="8.19921875" style="1236" customWidth="1"/>
    <col min="9226" max="9226" width="5.3984375" style="1236" customWidth="1"/>
    <col min="9227" max="9227" width="8.796875" style="1236" bestFit="1"/>
    <col min="9228" max="9231" width="8.796875" style="1236"/>
    <col min="9232" max="9232" width="21.296875" style="1236" bestFit="1" customWidth="1"/>
    <col min="9233" max="9233" width="32.5" style="1236" bestFit="1" customWidth="1"/>
    <col min="9234" max="9466" width="8.796875" style="1236"/>
    <col min="9467" max="9467" width="9.3984375" style="1236" customWidth="1"/>
    <col min="9468" max="9473" width="0" style="1236" hidden="1" customWidth="1"/>
    <col min="9474" max="9474" width="5.5" style="1236" bestFit="1" customWidth="1"/>
    <col min="9475" max="9475" width="8.19921875" style="1236" customWidth="1"/>
    <col min="9476" max="9476" width="5.3984375" style="1236" bestFit="1" customWidth="1"/>
    <col min="9477" max="9477" width="8.19921875" style="1236" customWidth="1"/>
    <col min="9478" max="9478" width="5.3984375" style="1236" bestFit="1" customWidth="1"/>
    <col min="9479" max="9481" width="8.19921875" style="1236" customWidth="1"/>
    <col min="9482" max="9482" width="5.3984375" style="1236" customWidth="1"/>
    <col min="9483" max="9483" width="8.796875" style="1236" bestFit="1"/>
    <col min="9484" max="9487" width="8.796875" style="1236"/>
    <col min="9488" max="9488" width="21.296875" style="1236" bestFit="1" customWidth="1"/>
    <col min="9489" max="9489" width="32.5" style="1236" bestFit="1" customWidth="1"/>
    <col min="9490" max="9722" width="8.796875" style="1236"/>
    <col min="9723" max="9723" width="9.3984375" style="1236" customWidth="1"/>
    <col min="9724" max="9729" width="0" style="1236" hidden="1" customWidth="1"/>
    <col min="9730" max="9730" width="5.5" style="1236" bestFit="1" customWidth="1"/>
    <col min="9731" max="9731" width="8.19921875" style="1236" customWidth="1"/>
    <col min="9732" max="9732" width="5.3984375" style="1236" bestFit="1" customWidth="1"/>
    <col min="9733" max="9733" width="8.19921875" style="1236" customWidth="1"/>
    <col min="9734" max="9734" width="5.3984375" style="1236" bestFit="1" customWidth="1"/>
    <col min="9735" max="9737" width="8.19921875" style="1236" customWidth="1"/>
    <col min="9738" max="9738" width="5.3984375" style="1236" customWidth="1"/>
    <col min="9739" max="9739" width="8.796875" style="1236" bestFit="1"/>
    <col min="9740" max="9743" width="8.796875" style="1236"/>
    <col min="9744" max="9744" width="21.296875" style="1236" bestFit="1" customWidth="1"/>
    <col min="9745" max="9745" width="32.5" style="1236" bestFit="1" customWidth="1"/>
    <col min="9746" max="9978" width="8.796875" style="1236"/>
    <col min="9979" max="9979" width="9.3984375" style="1236" customWidth="1"/>
    <col min="9980" max="9985" width="0" style="1236" hidden="1" customWidth="1"/>
    <col min="9986" max="9986" width="5.5" style="1236" bestFit="1" customWidth="1"/>
    <col min="9987" max="9987" width="8.19921875" style="1236" customWidth="1"/>
    <col min="9988" max="9988" width="5.3984375" style="1236" bestFit="1" customWidth="1"/>
    <col min="9989" max="9989" width="8.19921875" style="1236" customWidth="1"/>
    <col min="9990" max="9990" width="5.3984375" style="1236" bestFit="1" customWidth="1"/>
    <col min="9991" max="9993" width="8.19921875" style="1236" customWidth="1"/>
    <col min="9994" max="9994" width="5.3984375" style="1236" customWidth="1"/>
    <col min="9995" max="9995" width="8.796875" style="1236" bestFit="1"/>
    <col min="9996" max="9999" width="8.796875" style="1236"/>
    <col min="10000" max="10000" width="21.296875" style="1236" bestFit="1" customWidth="1"/>
    <col min="10001" max="10001" width="32.5" style="1236" bestFit="1" customWidth="1"/>
    <col min="10002" max="10234" width="8.796875" style="1236"/>
    <col min="10235" max="10235" width="9.3984375" style="1236" customWidth="1"/>
    <col min="10236" max="10241" width="0" style="1236" hidden="1" customWidth="1"/>
    <col min="10242" max="10242" width="5.5" style="1236" bestFit="1" customWidth="1"/>
    <col min="10243" max="10243" width="8.19921875" style="1236" customWidth="1"/>
    <col min="10244" max="10244" width="5.3984375" style="1236" bestFit="1" customWidth="1"/>
    <col min="10245" max="10245" width="8.19921875" style="1236" customWidth="1"/>
    <col min="10246" max="10246" width="5.3984375" style="1236" bestFit="1" customWidth="1"/>
    <col min="10247" max="10249" width="8.19921875" style="1236" customWidth="1"/>
    <col min="10250" max="10250" width="5.3984375" style="1236" customWidth="1"/>
    <col min="10251" max="10251" width="8.796875" style="1236" bestFit="1"/>
    <col min="10252" max="10255" width="8.796875" style="1236"/>
    <col min="10256" max="10256" width="21.296875" style="1236" bestFit="1" customWidth="1"/>
    <col min="10257" max="10257" width="32.5" style="1236" bestFit="1" customWidth="1"/>
    <col min="10258" max="10490" width="8.796875" style="1236"/>
    <col min="10491" max="10491" width="9.3984375" style="1236" customWidth="1"/>
    <col min="10492" max="10497" width="0" style="1236" hidden="1" customWidth="1"/>
    <col min="10498" max="10498" width="5.5" style="1236" bestFit="1" customWidth="1"/>
    <col min="10499" max="10499" width="8.19921875" style="1236" customWidth="1"/>
    <col min="10500" max="10500" width="5.3984375" style="1236" bestFit="1" customWidth="1"/>
    <col min="10501" max="10501" width="8.19921875" style="1236" customWidth="1"/>
    <col min="10502" max="10502" width="5.3984375" style="1236" bestFit="1" customWidth="1"/>
    <col min="10503" max="10505" width="8.19921875" style="1236" customWidth="1"/>
    <col min="10506" max="10506" width="5.3984375" style="1236" customWidth="1"/>
    <col min="10507" max="10507" width="8.796875" style="1236" bestFit="1"/>
    <col min="10508" max="10511" width="8.796875" style="1236"/>
    <col min="10512" max="10512" width="21.296875" style="1236" bestFit="1" customWidth="1"/>
    <col min="10513" max="10513" width="32.5" style="1236" bestFit="1" customWidth="1"/>
    <col min="10514" max="10746" width="8.796875" style="1236"/>
    <col min="10747" max="10747" width="9.3984375" style="1236" customWidth="1"/>
    <col min="10748" max="10753" width="0" style="1236" hidden="1" customWidth="1"/>
    <col min="10754" max="10754" width="5.5" style="1236" bestFit="1" customWidth="1"/>
    <col min="10755" max="10755" width="8.19921875" style="1236" customWidth="1"/>
    <col min="10756" max="10756" width="5.3984375" style="1236" bestFit="1" customWidth="1"/>
    <col min="10757" max="10757" width="8.19921875" style="1236" customWidth="1"/>
    <col min="10758" max="10758" width="5.3984375" style="1236" bestFit="1" customWidth="1"/>
    <col min="10759" max="10761" width="8.19921875" style="1236" customWidth="1"/>
    <col min="10762" max="10762" width="5.3984375" style="1236" customWidth="1"/>
    <col min="10763" max="10763" width="8.796875" style="1236" bestFit="1"/>
    <col min="10764" max="10767" width="8.796875" style="1236"/>
    <col min="10768" max="10768" width="21.296875" style="1236" bestFit="1" customWidth="1"/>
    <col min="10769" max="10769" width="32.5" style="1236" bestFit="1" customWidth="1"/>
    <col min="10770" max="11002" width="8.796875" style="1236"/>
    <col min="11003" max="11003" width="9.3984375" style="1236" customWidth="1"/>
    <col min="11004" max="11009" width="0" style="1236" hidden="1" customWidth="1"/>
    <col min="11010" max="11010" width="5.5" style="1236" bestFit="1" customWidth="1"/>
    <col min="11011" max="11011" width="8.19921875" style="1236" customWidth="1"/>
    <col min="11012" max="11012" width="5.3984375" style="1236" bestFit="1" customWidth="1"/>
    <col min="11013" max="11013" width="8.19921875" style="1236" customWidth="1"/>
    <col min="11014" max="11014" width="5.3984375" style="1236" bestFit="1" customWidth="1"/>
    <col min="11015" max="11017" width="8.19921875" style="1236" customWidth="1"/>
    <col min="11018" max="11018" width="5.3984375" style="1236" customWidth="1"/>
    <col min="11019" max="11019" width="8.796875" style="1236" bestFit="1"/>
    <col min="11020" max="11023" width="8.796875" style="1236"/>
    <col min="11024" max="11024" width="21.296875" style="1236" bestFit="1" customWidth="1"/>
    <col min="11025" max="11025" width="32.5" style="1236" bestFit="1" customWidth="1"/>
    <col min="11026" max="11258" width="8.796875" style="1236"/>
    <col min="11259" max="11259" width="9.3984375" style="1236" customWidth="1"/>
    <col min="11260" max="11265" width="0" style="1236" hidden="1" customWidth="1"/>
    <col min="11266" max="11266" width="5.5" style="1236" bestFit="1" customWidth="1"/>
    <col min="11267" max="11267" width="8.19921875" style="1236" customWidth="1"/>
    <col min="11268" max="11268" width="5.3984375" style="1236" bestFit="1" customWidth="1"/>
    <col min="11269" max="11269" width="8.19921875" style="1236" customWidth="1"/>
    <col min="11270" max="11270" width="5.3984375" style="1236" bestFit="1" customWidth="1"/>
    <col min="11271" max="11273" width="8.19921875" style="1236" customWidth="1"/>
    <col min="11274" max="11274" width="5.3984375" style="1236" customWidth="1"/>
    <col min="11275" max="11275" width="8.796875" style="1236" bestFit="1"/>
    <col min="11276" max="11279" width="8.796875" style="1236"/>
    <col min="11280" max="11280" width="21.296875" style="1236" bestFit="1" customWidth="1"/>
    <col min="11281" max="11281" width="32.5" style="1236" bestFit="1" customWidth="1"/>
    <col min="11282" max="11514" width="8.796875" style="1236"/>
    <col min="11515" max="11515" width="9.3984375" style="1236" customWidth="1"/>
    <col min="11516" max="11521" width="0" style="1236" hidden="1" customWidth="1"/>
    <col min="11522" max="11522" width="5.5" style="1236" bestFit="1" customWidth="1"/>
    <col min="11523" max="11523" width="8.19921875" style="1236" customWidth="1"/>
    <col min="11524" max="11524" width="5.3984375" style="1236" bestFit="1" customWidth="1"/>
    <col min="11525" max="11525" width="8.19921875" style="1236" customWidth="1"/>
    <col min="11526" max="11526" width="5.3984375" style="1236" bestFit="1" customWidth="1"/>
    <col min="11527" max="11529" width="8.19921875" style="1236" customWidth="1"/>
    <col min="11530" max="11530" width="5.3984375" style="1236" customWidth="1"/>
    <col min="11531" max="11531" width="8.796875" style="1236" bestFit="1"/>
    <col min="11532" max="11535" width="8.796875" style="1236"/>
    <col min="11536" max="11536" width="21.296875" style="1236" bestFit="1" customWidth="1"/>
    <col min="11537" max="11537" width="32.5" style="1236" bestFit="1" customWidth="1"/>
    <col min="11538" max="11770" width="8.796875" style="1236"/>
    <col min="11771" max="11771" width="9.3984375" style="1236" customWidth="1"/>
    <col min="11772" max="11777" width="0" style="1236" hidden="1" customWidth="1"/>
    <col min="11778" max="11778" width="5.5" style="1236" bestFit="1" customWidth="1"/>
    <col min="11779" max="11779" width="8.19921875" style="1236" customWidth="1"/>
    <col min="11780" max="11780" width="5.3984375" style="1236" bestFit="1" customWidth="1"/>
    <col min="11781" max="11781" width="8.19921875" style="1236" customWidth="1"/>
    <col min="11782" max="11782" width="5.3984375" style="1236" bestFit="1" customWidth="1"/>
    <col min="11783" max="11785" width="8.19921875" style="1236" customWidth="1"/>
    <col min="11786" max="11786" width="5.3984375" style="1236" customWidth="1"/>
    <col min="11787" max="11787" width="8.796875" style="1236" bestFit="1"/>
    <col min="11788" max="11791" width="8.796875" style="1236"/>
    <col min="11792" max="11792" width="21.296875" style="1236" bestFit="1" customWidth="1"/>
    <col min="11793" max="11793" width="32.5" style="1236" bestFit="1" customWidth="1"/>
    <col min="11794" max="12026" width="8.796875" style="1236"/>
    <col min="12027" max="12027" width="9.3984375" style="1236" customWidth="1"/>
    <col min="12028" max="12033" width="0" style="1236" hidden="1" customWidth="1"/>
    <col min="12034" max="12034" width="5.5" style="1236" bestFit="1" customWidth="1"/>
    <col min="12035" max="12035" width="8.19921875" style="1236" customWidth="1"/>
    <col min="12036" max="12036" width="5.3984375" style="1236" bestFit="1" customWidth="1"/>
    <col min="12037" max="12037" width="8.19921875" style="1236" customWidth="1"/>
    <col min="12038" max="12038" width="5.3984375" style="1236" bestFit="1" customWidth="1"/>
    <col min="12039" max="12041" width="8.19921875" style="1236" customWidth="1"/>
    <col min="12042" max="12042" width="5.3984375" style="1236" customWidth="1"/>
    <col min="12043" max="12043" width="8.796875" style="1236" bestFit="1"/>
    <col min="12044" max="12047" width="8.796875" style="1236"/>
    <col min="12048" max="12048" width="21.296875" style="1236" bestFit="1" customWidth="1"/>
    <col min="12049" max="12049" width="32.5" style="1236" bestFit="1" customWidth="1"/>
    <col min="12050" max="12282" width="8.796875" style="1236"/>
    <col min="12283" max="12283" width="9.3984375" style="1236" customWidth="1"/>
    <col min="12284" max="12289" width="0" style="1236" hidden="1" customWidth="1"/>
    <col min="12290" max="12290" width="5.5" style="1236" bestFit="1" customWidth="1"/>
    <col min="12291" max="12291" width="8.19921875" style="1236" customWidth="1"/>
    <col min="12292" max="12292" width="5.3984375" style="1236" bestFit="1" customWidth="1"/>
    <col min="12293" max="12293" width="8.19921875" style="1236" customWidth="1"/>
    <col min="12294" max="12294" width="5.3984375" style="1236" bestFit="1" customWidth="1"/>
    <col min="12295" max="12297" width="8.19921875" style="1236" customWidth="1"/>
    <col min="12298" max="12298" width="5.3984375" style="1236" customWidth="1"/>
    <col min="12299" max="12299" width="8.796875" style="1236" bestFit="1"/>
    <col min="12300" max="12303" width="8.796875" style="1236"/>
    <col min="12304" max="12304" width="21.296875" style="1236" bestFit="1" customWidth="1"/>
    <col min="12305" max="12305" width="32.5" style="1236" bestFit="1" customWidth="1"/>
    <col min="12306" max="12538" width="8.796875" style="1236"/>
    <col min="12539" max="12539" width="9.3984375" style="1236" customWidth="1"/>
    <col min="12540" max="12545" width="0" style="1236" hidden="1" customWidth="1"/>
    <col min="12546" max="12546" width="5.5" style="1236" bestFit="1" customWidth="1"/>
    <col min="12547" max="12547" width="8.19921875" style="1236" customWidth="1"/>
    <col min="12548" max="12548" width="5.3984375" style="1236" bestFit="1" customWidth="1"/>
    <col min="12549" max="12549" width="8.19921875" style="1236" customWidth="1"/>
    <col min="12550" max="12550" width="5.3984375" style="1236" bestFit="1" customWidth="1"/>
    <col min="12551" max="12553" width="8.19921875" style="1236" customWidth="1"/>
    <col min="12554" max="12554" width="5.3984375" style="1236" customWidth="1"/>
    <col min="12555" max="12555" width="8.796875" style="1236" bestFit="1"/>
    <col min="12556" max="12559" width="8.796875" style="1236"/>
    <col min="12560" max="12560" width="21.296875" style="1236" bestFit="1" customWidth="1"/>
    <col min="12561" max="12561" width="32.5" style="1236" bestFit="1" customWidth="1"/>
    <col min="12562" max="12794" width="8.796875" style="1236"/>
    <col min="12795" max="12795" width="9.3984375" style="1236" customWidth="1"/>
    <col min="12796" max="12801" width="0" style="1236" hidden="1" customWidth="1"/>
    <col min="12802" max="12802" width="5.5" style="1236" bestFit="1" customWidth="1"/>
    <col min="12803" max="12803" width="8.19921875" style="1236" customWidth="1"/>
    <col min="12804" max="12804" width="5.3984375" style="1236" bestFit="1" customWidth="1"/>
    <col min="12805" max="12805" width="8.19921875" style="1236" customWidth="1"/>
    <col min="12806" max="12806" width="5.3984375" style="1236" bestFit="1" customWidth="1"/>
    <col min="12807" max="12809" width="8.19921875" style="1236" customWidth="1"/>
    <col min="12810" max="12810" width="5.3984375" style="1236" customWidth="1"/>
    <col min="12811" max="12811" width="8.796875" style="1236" bestFit="1"/>
    <col min="12812" max="12815" width="8.796875" style="1236"/>
    <col min="12816" max="12816" width="21.296875" style="1236" bestFit="1" customWidth="1"/>
    <col min="12817" max="12817" width="32.5" style="1236" bestFit="1" customWidth="1"/>
    <col min="12818" max="13050" width="8.796875" style="1236"/>
    <col min="13051" max="13051" width="9.3984375" style="1236" customWidth="1"/>
    <col min="13052" max="13057" width="0" style="1236" hidden="1" customWidth="1"/>
    <col min="13058" max="13058" width="5.5" style="1236" bestFit="1" customWidth="1"/>
    <col min="13059" max="13059" width="8.19921875" style="1236" customWidth="1"/>
    <col min="13060" max="13060" width="5.3984375" style="1236" bestFit="1" customWidth="1"/>
    <col min="13061" max="13061" width="8.19921875" style="1236" customWidth="1"/>
    <col min="13062" max="13062" width="5.3984375" style="1236" bestFit="1" customWidth="1"/>
    <col min="13063" max="13065" width="8.19921875" style="1236" customWidth="1"/>
    <col min="13066" max="13066" width="5.3984375" style="1236" customWidth="1"/>
    <col min="13067" max="13067" width="8.796875" style="1236" bestFit="1"/>
    <col min="13068" max="13071" width="8.796875" style="1236"/>
    <col min="13072" max="13072" width="21.296875" style="1236" bestFit="1" customWidth="1"/>
    <col min="13073" max="13073" width="32.5" style="1236" bestFit="1" customWidth="1"/>
    <col min="13074" max="13306" width="8.796875" style="1236"/>
    <col min="13307" max="13307" width="9.3984375" style="1236" customWidth="1"/>
    <col min="13308" max="13313" width="0" style="1236" hidden="1" customWidth="1"/>
    <col min="13314" max="13314" width="5.5" style="1236" bestFit="1" customWidth="1"/>
    <col min="13315" max="13315" width="8.19921875" style="1236" customWidth="1"/>
    <col min="13316" max="13316" width="5.3984375" style="1236" bestFit="1" customWidth="1"/>
    <col min="13317" max="13317" width="8.19921875" style="1236" customWidth="1"/>
    <col min="13318" max="13318" width="5.3984375" style="1236" bestFit="1" customWidth="1"/>
    <col min="13319" max="13321" width="8.19921875" style="1236" customWidth="1"/>
    <col min="13322" max="13322" width="5.3984375" style="1236" customWidth="1"/>
    <col min="13323" max="13323" width="8.796875" style="1236" bestFit="1"/>
    <col min="13324" max="13327" width="8.796875" style="1236"/>
    <col min="13328" max="13328" width="21.296875" style="1236" bestFit="1" customWidth="1"/>
    <col min="13329" max="13329" width="32.5" style="1236" bestFit="1" customWidth="1"/>
    <col min="13330" max="13562" width="8.796875" style="1236"/>
    <col min="13563" max="13563" width="9.3984375" style="1236" customWidth="1"/>
    <col min="13564" max="13569" width="0" style="1236" hidden="1" customWidth="1"/>
    <col min="13570" max="13570" width="5.5" style="1236" bestFit="1" customWidth="1"/>
    <col min="13571" max="13571" width="8.19921875" style="1236" customWidth="1"/>
    <col min="13572" max="13572" width="5.3984375" style="1236" bestFit="1" customWidth="1"/>
    <col min="13573" max="13573" width="8.19921875" style="1236" customWidth="1"/>
    <col min="13574" max="13574" width="5.3984375" style="1236" bestFit="1" customWidth="1"/>
    <col min="13575" max="13577" width="8.19921875" style="1236" customWidth="1"/>
    <col min="13578" max="13578" width="5.3984375" style="1236" customWidth="1"/>
    <col min="13579" max="13579" width="8.796875" style="1236" bestFit="1"/>
    <col min="13580" max="13583" width="8.796875" style="1236"/>
    <col min="13584" max="13584" width="21.296875" style="1236" bestFit="1" customWidth="1"/>
    <col min="13585" max="13585" width="32.5" style="1236" bestFit="1" customWidth="1"/>
    <col min="13586" max="13818" width="8.796875" style="1236"/>
    <col min="13819" max="13819" width="9.3984375" style="1236" customWidth="1"/>
    <col min="13820" max="13825" width="0" style="1236" hidden="1" customWidth="1"/>
    <col min="13826" max="13826" width="5.5" style="1236" bestFit="1" customWidth="1"/>
    <col min="13827" max="13827" width="8.19921875" style="1236" customWidth="1"/>
    <col min="13828" max="13828" width="5.3984375" style="1236" bestFit="1" customWidth="1"/>
    <col min="13829" max="13829" width="8.19921875" style="1236" customWidth="1"/>
    <col min="13830" max="13830" width="5.3984375" style="1236" bestFit="1" customWidth="1"/>
    <col min="13831" max="13833" width="8.19921875" style="1236" customWidth="1"/>
    <col min="13834" max="13834" width="5.3984375" style="1236" customWidth="1"/>
    <col min="13835" max="13835" width="8.796875" style="1236" bestFit="1"/>
    <col min="13836" max="13839" width="8.796875" style="1236"/>
    <col min="13840" max="13840" width="21.296875" style="1236" bestFit="1" customWidth="1"/>
    <col min="13841" max="13841" width="32.5" style="1236" bestFit="1" customWidth="1"/>
    <col min="13842" max="14074" width="8.796875" style="1236"/>
    <col min="14075" max="14075" width="9.3984375" style="1236" customWidth="1"/>
    <col min="14076" max="14081" width="0" style="1236" hidden="1" customWidth="1"/>
    <col min="14082" max="14082" width="5.5" style="1236" bestFit="1" customWidth="1"/>
    <col min="14083" max="14083" width="8.19921875" style="1236" customWidth="1"/>
    <col min="14084" max="14084" width="5.3984375" style="1236" bestFit="1" customWidth="1"/>
    <col min="14085" max="14085" width="8.19921875" style="1236" customWidth="1"/>
    <col min="14086" max="14086" width="5.3984375" style="1236" bestFit="1" customWidth="1"/>
    <col min="14087" max="14089" width="8.19921875" style="1236" customWidth="1"/>
    <col min="14090" max="14090" width="5.3984375" style="1236" customWidth="1"/>
    <col min="14091" max="14091" width="8.796875" style="1236" bestFit="1"/>
    <col min="14092" max="14095" width="8.796875" style="1236"/>
    <col min="14096" max="14096" width="21.296875" style="1236" bestFit="1" customWidth="1"/>
    <col min="14097" max="14097" width="32.5" style="1236" bestFit="1" customWidth="1"/>
    <col min="14098" max="14330" width="8.796875" style="1236"/>
    <col min="14331" max="14331" width="9.3984375" style="1236" customWidth="1"/>
    <col min="14332" max="14337" width="0" style="1236" hidden="1" customWidth="1"/>
    <col min="14338" max="14338" width="5.5" style="1236" bestFit="1" customWidth="1"/>
    <col min="14339" max="14339" width="8.19921875" style="1236" customWidth="1"/>
    <col min="14340" max="14340" width="5.3984375" style="1236" bestFit="1" customWidth="1"/>
    <col min="14341" max="14341" width="8.19921875" style="1236" customWidth="1"/>
    <col min="14342" max="14342" width="5.3984375" style="1236" bestFit="1" customWidth="1"/>
    <col min="14343" max="14345" width="8.19921875" style="1236" customWidth="1"/>
    <col min="14346" max="14346" width="5.3984375" style="1236" customWidth="1"/>
    <col min="14347" max="14347" width="8.796875" style="1236" bestFit="1"/>
    <col min="14348" max="14351" width="8.796875" style="1236"/>
    <col min="14352" max="14352" width="21.296875" style="1236" bestFit="1" customWidth="1"/>
    <col min="14353" max="14353" width="32.5" style="1236" bestFit="1" customWidth="1"/>
    <col min="14354" max="14586" width="8.796875" style="1236"/>
    <col min="14587" max="14587" width="9.3984375" style="1236" customWidth="1"/>
    <col min="14588" max="14593" width="0" style="1236" hidden="1" customWidth="1"/>
    <col min="14594" max="14594" width="5.5" style="1236" bestFit="1" customWidth="1"/>
    <col min="14595" max="14595" width="8.19921875" style="1236" customWidth="1"/>
    <col min="14596" max="14596" width="5.3984375" style="1236" bestFit="1" customWidth="1"/>
    <col min="14597" max="14597" width="8.19921875" style="1236" customWidth="1"/>
    <col min="14598" max="14598" width="5.3984375" style="1236" bestFit="1" customWidth="1"/>
    <col min="14599" max="14601" width="8.19921875" style="1236" customWidth="1"/>
    <col min="14602" max="14602" width="5.3984375" style="1236" customWidth="1"/>
    <col min="14603" max="14603" width="8.796875" style="1236" bestFit="1"/>
    <col min="14604" max="14607" width="8.796875" style="1236"/>
    <col min="14608" max="14608" width="21.296875" style="1236" bestFit="1" customWidth="1"/>
    <col min="14609" max="14609" width="32.5" style="1236" bestFit="1" customWidth="1"/>
    <col min="14610" max="14842" width="8.796875" style="1236"/>
    <col min="14843" max="14843" width="9.3984375" style="1236" customWidth="1"/>
    <col min="14844" max="14849" width="0" style="1236" hidden="1" customWidth="1"/>
    <col min="14850" max="14850" width="5.5" style="1236" bestFit="1" customWidth="1"/>
    <col min="14851" max="14851" width="8.19921875" style="1236" customWidth="1"/>
    <col min="14852" max="14852" width="5.3984375" style="1236" bestFit="1" customWidth="1"/>
    <col min="14853" max="14853" width="8.19921875" style="1236" customWidth="1"/>
    <col min="14854" max="14854" width="5.3984375" style="1236" bestFit="1" customWidth="1"/>
    <col min="14855" max="14857" width="8.19921875" style="1236" customWidth="1"/>
    <col min="14858" max="14858" width="5.3984375" style="1236" customWidth="1"/>
    <col min="14859" max="14859" width="8.796875" style="1236" bestFit="1"/>
    <col min="14860" max="14863" width="8.796875" style="1236"/>
    <col min="14864" max="14864" width="21.296875" style="1236" bestFit="1" customWidth="1"/>
    <col min="14865" max="14865" width="32.5" style="1236" bestFit="1" customWidth="1"/>
    <col min="14866" max="15098" width="8.796875" style="1236"/>
    <col min="15099" max="15099" width="9.3984375" style="1236" customWidth="1"/>
    <col min="15100" max="15105" width="0" style="1236" hidden="1" customWidth="1"/>
    <col min="15106" max="15106" width="5.5" style="1236" bestFit="1" customWidth="1"/>
    <col min="15107" max="15107" width="8.19921875" style="1236" customWidth="1"/>
    <col min="15108" max="15108" width="5.3984375" style="1236" bestFit="1" customWidth="1"/>
    <col min="15109" max="15109" width="8.19921875" style="1236" customWidth="1"/>
    <col min="15110" max="15110" width="5.3984375" style="1236" bestFit="1" customWidth="1"/>
    <col min="15111" max="15113" width="8.19921875" style="1236" customWidth="1"/>
    <col min="15114" max="15114" width="5.3984375" style="1236" customWidth="1"/>
    <col min="15115" max="15115" width="8.796875" style="1236" bestFit="1"/>
    <col min="15116" max="15119" width="8.796875" style="1236"/>
    <col min="15120" max="15120" width="21.296875" style="1236" bestFit="1" customWidth="1"/>
    <col min="15121" max="15121" width="32.5" style="1236" bestFit="1" customWidth="1"/>
    <col min="15122" max="15354" width="8.796875" style="1236"/>
    <col min="15355" max="15355" width="9.3984375" style="1236" customWidth="1"/>
    <col min="15356" max="15361" width="0" style="1236" hidden="1" customWidth="1"/>
    <col min="15362" max="15362" width="5.5" style="1236" bestFit="1" customWidth="1"/>
    <col min="15363" max="15363" width="8.19921875" style="1236" customWidth="1"/>
    <col min="15364" max="15364" width="5.3984375" style="1236" bestFit="1" customWidth="1"/>
    <col min="15365" max="15365" width="8.19921875" style="1236" customWidth="1"/>
    <col min="15366" max="15366" width="5.3984375" style="1236" bestFit="1" customWidth="1"/>
    <col min="15367" max="15369" width="8.19921875" style="1236" customWidth="1"/>
    <col min="15370" max="15370" width="5.3984375" style="1236" customWidth="1"/>
    <col min="15371" max="15371" width="8.796875" style="1236" bestFit="1"/>
    <col min="15372" max="15375" width="8.796875" style="1236"/>
    <col min="15376" max="15376" width="21.296875" style="1236" bestFit="1" customWidth="1"/>
    <col min="15377" max="15377" width="32.5" style="1236" bestFit="1" customWidth="1"/>
    <col min="15378" max="15610" width="8.796875" style="1236"/>
    <col min="15611" max="15611" width="9.3984375" style="1236" customWidth="1"/>
    <col min="15612" max="15617" width="0" style="1236" hidden="1" customWidth="1"/>
    <col min="15618" max="15618" width="5.5" style="1236" bestFit="1" customWidth="1"/>
    <col min="15619" max="15619" width="8.19921875" style="1236" customWidth="1"/>
    <col min="15620" max="15620" width="5.3984375" style="1236" bestFit="1" customWidth="1"/>
    <col min="15621" max="15621" width="8.19921875" style="1236" customWidth="1"/>
    <col min="15622" max="15622" width="5.3984375" style="1236" bestFit="1" customWidth="1"/>
    <col min="15623" max="15625" width="8.19921875" style="1236" customWidth="1"/>
    <col min="15626" max="15626" width="5.3984375" style="1236" customWidth="1"/>
    <col min="15627" max="15627" width="8.796875" style="1236" bestFit="1"/>
    <col min="15628" max="15631" width="8.796875" style="1236"/>
    <col min="15632" max="15632" width="21.296875" style="1236" bestFit="1" customWidth="1"/>
    <col min="15633" max="15633" width="32.5" style="1236" bestFit="1" customWidth="1"/>
    <col min="15634" max="15866" width="8.796875" style="1236"/>
    <col min="15867" max="15867" width="9.3984375" style="1236" customWidth="1"/>
    <col min="15868" max="15873" width="0" style="1236" hidden="1" customWidth="1"/>
    <col min="15874" max="15874" width="5.5" style="1236" bestFit="1" customWidth="1"/>
    <col min="15875" max="15875" width="8.19921875" style="1236" customWidth="1"/>
    <col min="15876" max="15876" width="5.3984375" style="1236" bestFit="1" customWidth="1"/>
    <col min="15877" max="15877" width="8.19921875" style="1236" customWidth="1"/>
    <col min="15878" max="15878" width="5.3984375" style="1236" bestFit="1" customWidth="1"/>
    <col min="15879" max="15881" width="8.19921875" style="1236" customWidth="1"/>
    <col min="15882" max="15882" width="5.3984375" style="1236" customWidth="1"/>
    <col min="15883" max="15883" width="8.796875" style="1236" bestFit="1"/>
    <col min="15884" max="15887" width="8.796875" style="1236"/>
    <col min="15888" max="15888" width="21.296875" style="1236" bestFit="1" customWidth="1"/>
    <col min="15889" max="15889" width="32.5" style="1236" bestFit="1" customWidth="1"/>
    <col min="15890" max="16122" width="8.796875" style="1236"/>
    <col min="16123" max="16123" width="9.3984375" style="1236" customWidth="1"/>
    <col min="16124" max="16129" width="0" style="1236" hidden="1" customWidth="1"/>
    <col min="16130" max="16130" width="5.5" style="1236" bestFit="1" customWidth="1"/>
    <col min="16131" max="16131" width="8.19921875" style="1236" customWidth="1"/>
    <col min="16132" max="16132" width="5.3984375" style="1236" bestFit="1" customWidth="1"/>
    <col min="16133" max="16133" width="8.19921875" style="1236" customWidth="1"/>
    <col min="16134" max="16134" width="5.3984375" style="1236" bestFit="1" customWidth="1"/>
    <col min="16135" max="16137" width="8.19921875" style="1236" customWidth="1"/>
    <col min="16138" max="16138" width="5.3984375" style="1236" customWidth="1"/>
    <col min="16139" max="16139" width="8.796875" style="1236" bestFit="1"/>
    <col min="16140" max="16143" width="8.796875" style="1236"/>
    <col min="16144" max="16144" width="21.296875" style="1236" bestFit="1" customWidth="1"/>
    <col min="16145" max="16145" width="32.5" style="1236" bestFit="1" customWidth="1"/>
    <col min="16146" max="16384" width="8.796875" style="1236"/>
  </cols>
  <sheetData>
    <row r="1" spans="1:17" ht="30" customHeight="1" thickBot="1">
      <c r="A1" s="1429" t="s">
        <v>2778</v>
      </c>
    </row>
    <row r="2" spans="1:17">
      <c r="A2" s="2499" t="s">
        <v>2779</v>
      </c>
      <c r="B2" s="2390" t="s">
        <v>320</v>
      </c>
      <c r="C2" s="2393"/>
      <c r="D2" s="2390" t="s">
        <v>40</v>
      </c>
      <c r="E2" s="2393"/>
      <c r="F2" s="2390" t="s">
        <v>41</v>
      </c>
      <c r="G2" s="2395"/>
      <c r="H2" s="2390" t="s">
        <v>79</v>
      </c>
      <c r="I2" s="2395"/>
      <c r="J2" s="2390" t="s">
        <v>44</v>
      </c>
      <c r="K2" s="2395"/>
    </row>
    <row r="3" spans="1:17" ht="18">
      <c r="A3" s="2431"/>
      <c r="B3" s="1272" t="s">
        <v>2780</v>
      </c>
      <c r="C3" s="1468" t="s">
        <v>2781</v>
      </c>
      <c r="D3" s="1469" t="s">
        <v>2782</v>
      </c>
      <c r="E3" s="1469" t="s">
        <v>2783</v>
      </c>
      <c r="F3" s="1272" t="s">
        <v>2784</v>
      </c>
      <c r="G3" s="1469" t="s">
        <v>2783</v>
      </c>
      <c r="H3" s="1272" t="s">
        <v>2784</v>
      </c>
      <c r="I3" s="1435" t="s">
        <v>2783</v>
      </c>
      <c r="J3" s="1272" t="s">
        <v>2784</v>
      </c>
      <c r="K3" s="1435" t="s">
        <v>2783</v>
      </c>
      <c r="N3" s="1470"/>
      <c r="O3" s="1470"/>
      <c r="P3" s="1470"/>
      <c r="Q3" s="1470"/>
    </row>
    <row r="4" spans="1:17" ht="18">
      <c r="A4" s="1471"/>
      <c r="B4" s="1241"/>
      <c r="C4" s="1472" t="s">
        <v>2785</v>
      </c>
      <c r="D4" s="1473"/>
      <c r="E4" s="1473" t="s">
        <v>2785</v>
      </c>
      <c r="F4" s="1241"/>
      <c r="G4" s="1473" t="s">
        <v>2785</v>
      </c>
      <c r="H4" s="1241"/>
      <c r="I4" s="1274" t="s">
        <v>2785</v>
      </c>
      <c r="J4" s="1241"/>
      <c r="K4" s="1274" t="s">
        <v>2785</v>
      </c>
      <c r="N4" s="1470"/>
      <c r="O4" s="1470"/>
      <c r="P4" s="1470"/>
      <c r="Q4" s="1474"/>
    </row>
    <row r="5" spans="1:17" ht="18">
      <c r="A5" s="1475" t="s">
        <v>25</v>
      </c>
      <c r="B5" s="1241">
        <v>43</v>
      </c>
      <c r="C5" s="1279">
        <v>6962780</v>
      </c>
      <c r="D5" s="1465">
        <v>43</v>
      </c>
      <c r="E5" s="1465">
        <v>7511455</v>
      </c>
      <c r="F5" s="1241">
        <v>41</v>
      </c>
      <c r="G5" s="1465">
        <v>10947335</v>
      </c>
      <c r="H5" s="1241">
        <v>40</v>
      </c>
      <c r="I5" s="1243">
        <v>10559158</v>
      </c>
      <c r="J5" s="1241">
        <v>40</v>
      </c>
      <c r="K5" s="1243">
        <v>9981811</v>
      </c>
      <c r="M5" s="1470"/>
      <c r="N5" s="1470"/>
      <c r="O5" s="1470"/>
      <c r="P5" s="1470"/>
      <c r="Q5" s="1474"/>
    </row>
    <row r="6" spans="1:17" ht="18">
      <c r="A6" s="1475" t="s">
        <v>2786</v>
      </c>
      <c r="B6" s="1241">
        <v>10</v>
      </c>
      <c r="C6" s="324">
        <v>700037</v>
      </c>
      <c r="D6" s="322">
        <v>10</v>
      </c>
      <c r="E6" s="322">
        <v>748785</v>
      </c>
      <c r="F6" s="1241">
        <v>9</v>
      </c>
      <c r="G6" s="322">
        <v>722147</v>
      </c>
      <c r="H6" s="1241">
        <v>8</v>
      </c>
      <c r="I6" s="413">
        <v>691898</v>
      </c>
      <c r="J6" s="1241">
        <v>9</v>
      </c>
      <c r="K6" s="413">
        <v>461073</v>
      </c>
      <c r="M6" s="1470"/>
      <c r="N6" s="1470"/>
      <c r="O6" s="1470"/>
      <c r="P6" s="1470"/>
      <c r="Q6" s="1474"/>
    </row>
    <row r="7" spans="1:17" ht="18">
      <c r="A7" s="1475" t="s">
        <v>2787</v>
      </c>
      <c r="B7" s="1241">
        <v>6</v>
      </c>
      <c r="C7" s="324">
        <v>176911</v>
      </c>
      <c r="D7" s="322">
        <v>6</v>
      </c>
      <c r="E7" s="322">
        <v>204794</v>
      </c>
      <c r="F7" s="1241">
        <v>6</v>
      </c>
      <c r="G7" s="322">
        <v>168584</v>
      </c>
      <c r="H7" s="1241">
        <v>6</v>
      </c>
      <c r="I7" s="413">
        <v>305423</v>
      </c>
      <c r="J7" s="1241">
        <v>5</v>
      </c>
      <c r="K7" s="413">
        <v>316563</v>
      </c>
      <c r="M7" s="1470"/>
      <c r="N7" s="1470"/>
      <c r="O7" s="1470"/>
      <c r="P7" s="1470"/>
      <c r="Q7" s="1470"/>
    </row>
    <row r="8" spans="1:17" ht="18">
      <c r="A8" s="1475" t="s">
        <v>2788</v>
      </c>
      <c r="B8" s="1241">
        <v>2</v>
      </c>
      <c r="C8" s="1279" t="s">
        <v>2789</v>
      </c>
      <c r="D8" s="1465">
        <v>2</v>
      </c>
      <c r="E8" s="1279" t="s">
        <v>2789</v>
      </c>
      <c r="F8" s="1241">
        <v>2</v>
      </c>
      <c r="G8" s="1279" t="s">
        <v>2789</v>
      </c>
      <c r="H8" s="1241">
        <v>2</v>
      </c>
      <c r="I8" s="1243" t="s">
        <v>2789</v>
      </c>
      <c r="J8" s="1241">
        <v>1</v>
      </c>
      <c r="K8" s="1243" t="s">
        <v>2790</v>
      </c>
      <c r="M8" s="1470"/>
      <c r="N8" s="1470"/>
      <c r="O8" s="1470"/>
      <c r="P8" s="1470"/>
      <c r="Q8" s="1470"/>
    </row>
    <row r="9" spans="1:17" ht="18">
      <c r="A9" s="1475" t="s">
        <v>2791</v>
      </c>
      <c r="B9" s="1275" t="s">
        <v>345</v>
      </c>
      <c r="C9" s="1279" t="s">
        <v>384</v>
      </c>
      <c r="D9" s="1465" t="s">
        <v>384</v>
      </c>
      <c r="E9" s="1465" t="s">
        <v>384</v>
      </c>
      <c r="F9" s="1275" t="s">
        <v>384</v>
      </c>
      <c r="G9" s="1275" t="s">
        <v>384</v>
      </c>
      <c r="H9" s="1275" t="s">
        <v>384</v>
      </c>
      <c r="I9" s="1243" t="s">
        <v>384</v>
      </c>
      <c r="J9" s="1275" t="s">
        <v>384</v>
      </c>
      <c r="K9" s="1243" t="s">
        <v>384</v>
      </c>
      <c r="M9" s="1470"/>
      <c r="N9" s="1470"/>
      <c r="O9" s="1470"/>
      <c r="P9" s="1470"/>
      <c r="Q9" s="1470"/>
    </row>
    <row r="10" spans="1:17" ht="18">
      <c r="A10" s="1475" t="s">
        <v>2792</v>
      </c>
      <c r="B10" s="1241">
        <v>2</v>
      </c>
      <c r="C10" s="1279" t="s">
        <v>2789</v>
      </c>
      <c r="D10" s="1465">
        <v>2</v>
      </c>
      <c r="E10" s="1279" t="s">
        <v>2789</v>
      </c>
      <c r="F10" s="1241">
        <v>2</v>
      </c>
      <c r="G10" s="1279" t="s">
        <v>2789</v>
      </c>
      <c r="H10" s="1241">
        <v>2</v>
      </c>
      <c r="I10" s="1243" t="s">
        <v>2789</v>
      </c>
      <c r="J10" s="1241">
        <v>1</v>
      </c>
      <c r="K10" s="1243" t="s">
        <v>2790</v>
      </c>
      <c r="M10" s="1470"/>
      <c r="N10" s="1470"/>
      <c r="O10" s="1470"/>
      <c r="P10" s="1470"/>
      <c r="Q10" s="1470"/>
    </row>
    <row r="11" spans="1:17" ht="18">
      <c r="A11" s="1475" t="s">
        <v>2793</v>
      </c>
      <c r="B11" s="1275" t="s">
        <v>345</v>
      </c>
      <c r="C11" s="1275" t="s">
        <v>345</v>
      </c>
      <c r="D11" s="1465" t="s">
        <v>384</v>
      </c>
      <c r="E11" s="1465" t="s">
        <v>384</v>
      </c>
      <c r="F11" s="1275" t="s">
        <v>384</v>
      </c>
      <c r="G11" s="1275" t="s">
        <v>384</v>
      </c>
      <c r="H11" s="1275" t="s">
        <v>384</v>
      </c>
      <c r="I11" s="1243" t="s">
        <v>384</v>
      </c>
      <c r="J11" s="1275" t="s">
        <v>384</v>
      </c>
      <c r="K11" s="1243" t="s">
        <v>384</v>
      </c>
      <c r="M11" s="1470"/>
      <c r="N11" s="1470"/>
      <c r="O11" s="1470"/>
      <c r="P11" s="1470"/>
      <c r="Q11" s="1470"/>
    </row>
    <row r="12" spans="1:17" ht="18">
      <c r="A12" s="1475" t="s">
        <v>2794</v>
      </c>
      <c r="B12" s="1275" t="s">
        <v>345</v>
      </c>
      <c r="C12" s="1275" t="s">
        <v>345</v>
      </c>
      <c r="D12" s="1465" t="s">
        <v>384</v>
      </c>
      <c r="E12" s="1465" t="s">
        <v>384</v>
      </c>
      <c r="F12" s="1275" t="s">
        <v>384</v>
      </c>
      <c r="G12" s="1275" t="s">
        <v>384</v>
      </c>
      <c r="H12" s="1275" t="s">
        <v>384</v>
      </c>
      <c r="I12" s="1243" t="s">
        <v>384</v>
      </c>
      <c r="J12" s="1275" t="s">
        <v>384</v>
      </c>
      <c r="K12" s="1243" t="s">
        <v>384</v>
      </c>
      <c r="M12" s="1470"/>
      <c r="N12" s="1470"/>
      <c r="O12" s="1470"/>
      <c r="P12" s="1470"/>
      <c r="Q12" s="1470"/>
    </row>
    <row r="13" spans="1:17" ht="18">
      <c r="A13" s="1475" t="s">
        <v>2795</v>
      </c>
      <c r="B13" s="1241">
        <v>2</v>
      </c>
      <c r="C13" s="1279" t="s">
        <v>2789</v>
      </c>
      <c r="D13" s="1465">
        <v>2</v>
      </c>
      <c r="E13" s="1279" t="s">
        <v>2789</v>
      </c>
      <c r="F13" s="1241">
        <v>2</v>
      </c>
      <c r="G13" s="1279" t="s">
        <v>2789</v>
      </c>
      <c r="H13" s="1241">
        <v>2</v>
      </c>
      <c r="I13" s="1243" t="s">
        <v>2789</v>
      </c>
      <c r="J13" s="1241">
        <v>2</v>
      </c>
      <c r="K13" s="1243" t="s">
        <v>2790</v>
      </c>
      <c r="M13" s="1470"/>
      <c r="N13" s="1470"/>
      <c r="O13" s="1470"/>
      <c r="P13" s="1470"/>
      <c r="Q13" s="1470"/>
    </row>
    <row r="14" spans="1:17" ht="18">
      <c r="A14" s="1475" t="s">
        <v>2796</v>
      </c>
      <c r="B14" s="1241">
        <v>1</v>
      </c>
      <c r="C14" s="1279" t="s">
        <v>2789</v>
      </c>
      <c r="D14" s="1465">
        <v>1</v>
      </c>
      <c r="E14" s="1279" t="s">
        <v>2789</v>
      </c>
      <c r="F14" s="1241">
        <v>1</v>
      </c>
      <c r="G14" s="1279" t="s">
        <v>2789</v>
      </c>
      <c r="H14" s="1241">
        <v>1</v>
      </c>
      <c r="I14" s="1243" t="s">
        <v>2789</v>
      </c>
      <c r="J14" s="1241">
        <v>1</v>
      </c>
      <c r="K14" s="1243" t="s">
        <v>2790</v>
      </c>
      <c r="M14" s="1470"/>
      <c r="N14" s="1470"/>
      <c r="O14" s="1470"/>
      <c r="P14" s="1470"/>
      <c r="Q14" s="1470"/>
    </row>
    <row r="15" spans="1:17" ht="18">
      <c r="A15" s="1475" t="s">
        <v>2797</v>
      </c>
      <c r="B15" s="1241">
        <v>1</v>
      </c>
      <c r="C15" s="1279" t="s">
        <v>2789</v>
      </c>
      <c r="D15" s="1465">
        <v>1</v>
      </c>
      <c r="E15" s="1279" t="s">
        <v>2789</v>
      </c>
      <c r="F15" s="1241">
        <v>1</v>
      </c>
      <c r="G15" s="1279" t="s">
        <v>2789</v>
      </c>
      <c r="H15" s="1241">
        <v>1</v>
      </c>
      <c r="I15" s="1243" t="s">
        <v>2789</v>
      </c>
      <c r="J15" s="1241">
        <v>1</v>
      </c>
      <c r="K15" s="1243" t="s">
        <v>2790</v>
      </c>
      <c r="M15" s="1470"/>
      <c r="N15" s="1470"/>
      <c r="O15" s="1470"/>
      <c r="P15" s="1470"/>
      <c r="Q15" s="1470"/>
    </row>
    <row r="16" spans="1:17" ht="18">
      <c r="A16" s="1475" t="s">
        <v>2798</v>
      </c>
      <c r="B16" s="1275">
        <v>1</v>
      </c>
      <c r="C16" s="1279" t="s">
        <v>2789</v>
      </c>
      <c r="D16" s="1465">
        <v>1</v>
      </c>
      <c r="E16" s="1279" t="s">
        <v>2789</v>
      </c>
      <c r="F16" s="1275" t="s">
        <v>384</v>
      </c>
      <c r="G16" s="1275" t="s">
        <v>384</v>
      </c>
      <c r="H16" s="1275" t="s">
        <v>384</v>
      </c>
      <c r="I16" s="1243" t="s">
        <v>384</v>
      </c>
      <c r="J16" s="1275" t="s">
        <v>384</v>
      </c>
      <c r="K16" s="1243" t="s">
        <v>384</v>
      </c>
      <c r="M16" s="1470"/>
      <c r="N16" s="1470"/>
      <c r="O16" s="1470"/>
      <c r="P16" s="1470"/>
      <c r="Q16" s="1474"/>
    </row>
    <row r="17" spans="1:17" ht="18">
      <c r="A17" s="1475" t="s">
        <v>2799</v>
      </c>
      <c r="B17" s="1275">
        <v>4</v>
      </c>
      <c r="C17" s="1279">
        <v>1804580</v>
      </c>
      <c r="D17" s="1465">
        <v>4</v>
      </c>
      <c r="E17" s="1465">
        <v>1874569</v>
      </c>
      <c r="F17" s="1275">
        <v>4</v>
      </c>
      <c r="G17" s="1465">
        <v>5354575</v>
      </c>
      <c r="H17" s="1275">
        <v>4</v>
      </c>
      <c r="I17" s="1243">
        <v>5495949</v>
      </c>
      <c r="J17" s="1275">
        <v>7</v>
      </c>
      <c r="K17" s="1243">
        <v>4573792</v>
      </c>
      <c r="M17" s="1470"/>
      <c r="N17" s="1470"/>
      <c r="O17" s="1470"/>
      <c r="P17" s="1470"/>
      <c r="Q17" s="1470"/>
    </row>
    <row r="18" spans="1:17" ht="18">
      <c r="A18" s="1475" t="s">
        <v>2800</v>
      </c>
      <c r="B18" s="1241">
        <v>2</v>
      </c>
      <c r="C18" s="1279" t="s">
        <v>2789</v>
      </c>
      <c r="D18" s="1465">
        <v>2</v>
      </c>
      <c r="E18" s="1279" t="s">
        <v>2789</v>
      </c>
      <c r="F18" s="1241">
        <v>2</v>
      </c>
      <c r="G18" s="1279" t="s">
        <v>2789</v>
      </c>
      <c r="H18" s="1241">
        <v>2</v>
      </c>
      <c r="I18" s="1243" t="s">
        <v>2789</v>
      </c>
      <c r="J18" s="1241">
        <v>2</v>
      </c>
      <c r="K18" s="1243" t="s">
        <v>2790</v>
      </c>
      <c r="M18" s="1470"/>
      <c r="N18" s="1470"/>
      <c r="O18" s="1470"/>
      <c r="P18" s="1470"/>
      <c r="Q18" s="1470"/>
    </row>
    <row r="19" spans="1:17" ht="18">
      <c r="A19" s="1475" t="s">
        <v>2801</v>
      </c>
      <c r="B19" s="1275" t="s">
        <v>345</v>
      </c>
      <c r="C19" s="1279" t="s">
        <v>384</v>
      </c>
      <c r="D19" s="1465" t="s">
        <v>384</v>
      </c>
      <c r="E19" s="1465" t="s">
        <v>384</v>
      </c>
      <c r="F19" s="1275" t="s">
        <v>384</v>
      </c>
      <c r="G19" s="1275" t="s">
        <v>384</v>
      </c>
      <c r="H19" s="1275" t="s">
        <v>384</v>
      </c>
      <c r="I19" s="1243" t="s">
        <v>384</v>
      </c>
      <c r="J19" s="1275">
        <v>1</v>
      </c>
      <c r="K19" s="1243" t="s">
        <v>384</v>
      </c>
      <c r="M19" s="1470"/>
      <c r="N19" s="1470"/>
      <c r="O19" s="1470"/>
      <c r="P19" s="1470"/>
      <c r="Q19" s="1470"/>
    </row>
    <row r="20" spans="1:17" ht="18">
      <c r="A20" s="1475" t="s">
        <v>2802</v>
      </c>
      <c r="B20" s="1241">
        <v>2</v>
      </c>
      <c r="C20" s="1279" t="s">
        <v>2789</v>
      </c>
      <c r="D20" s="1465">
        <v>2</v>
      </c>
      <c r="E20" s="1279" t="s">
        <v>2789</v>
      </c>
      <c r="F20" s="1241">
        <v>2</v>
      </c>
      <c r="G20" s="1279" t="s">
        <v>2789</v>
      </c>
      <c r="H20" s="1241">
        <v>2</v>
      </c>
      <c r="I20" s="1243" t="s">
        <v>2789</v>
      </c>
      <c r="J20" s="1241">
        <v>2</v>
      </c>
      <c r="K20" s="1243" t="s">
        <v>2790</v>
      </c>
      <c r="M20" s="1470"/>
      <c r="N20" s="1470"/>
      <c r="O20" s="1470"/>
      <c r="P20" s="1470"/>
      <c r="Q20" s="1470"/>
    </row>
    <row r="21" spans="1:17" ht="18">
      <c r="A21" s="1475" t="s">
        <v>2803</v>
      </c>
      <c r="B21" s="1275" t="s">
        <v>345</v>
      </c>
      <c r="C21" s="1279" t="s">
        <v>384</v>
      </c>
      <c r="D21" s="1465" t="s">
        <v>384</v>
      </c>
      <c r="E21" s="1465" t="s">
        <v>384</v>
      </c>
      <c r="F21" s="1275" t="s">
        <v>384</v>
      </c>
      <c r="G21" s="1275" t="s">
        <v>384</v>
      </c>
      <c r="H21" s="1275" t="s">
        <v>384</v>
      </c>
      <c r="I21" s="1243" t="s">
        <v>384</v>
      </c>
      <c r="J21" s="1275" t="s">
        <v>384</v>
      </c>
      <c r="K21" s="1243" t="s">
        <v>384</v>
      </c>
      <c r="N21" s="1470"/>
      <c r="O21" s="1470"/>
      <c r="P21" s="1470"/>
      <c r="Q21" s="1474"/>
    </row>
    <row r="22" spans="1:17" ht="18">
      <c r="A22" s="1475" t="s">
        <v>2804</v>
      </c>
      <c r="B22" s="1241">
        <v>3</v>
      </c>
      <c r="C22" s="1279">
        <v>1772775</v>
      </c>
      <c r="D22" s="1465">
        <v>3</v>
      </c>
      <c r="E22" s="1465">
        <v>2071731</v>
      </c>
      <c r="F22" s="1241">
        <v>3</v>
      </c>
      <c r="G22" s="1465">
        <v>2012177</v>
      </c>
      <c r="H22" s="1241">
        <v>3</v>
      </c>
      <c r="I22" s="1243">
        <v>1540575</v>
      </c>
      <c r="J22" s="1241">
        <v>1</v>
      </c>
      <c r="K22" s="1243" t="s">
        <v>2790</v>
      </c>
      <c r="N22" s="1470"/>
      <c r="O22" s="1470"/>
      <c r="P22" s="1470"/>
      <c r="Q22" s="1470"/>
    </row>
    <row r="23" spans="1:17" ht="18">
      <c r="A23" s="1475" t="s">
        <v>2805</v>
      </c>
      <c r="B23" s="1241">
        <v>1</v>
      </c>
      <c r="C23" s="1279" t="s">
        <v>2789</v>
      </c>
      <c r="D23" s="1465">
        <v>1</v>
      </c>
      <c r="E23" s="1279" t="s">
        <v>2789</v>
      </c>
      <c r="F23" s="1241">
        <v>1</v>
      </c>
      <c r="G23" s="1279" t="s">
        <v>2789</v>
      </c>
      <c r="H23" s="1241">
        <v>1</v>
      </c>
      <c r="I23" s="1243" t="s">
        <v>2789</v>
      </c>
      <c r="J23" s="1241">
        <v>2</v>
      </c>
      <c r="K23" s="1243" t="s">
        <v>2790</v>
      </c>
      <c r="N23" s="1470"/>
      <c r="O23" s="1470"/>
      <c r="P23" s="1470"/>
      <c r="Q23" s="1474"/>
    </row>
    <row r="24" spans="1:17" ht="18">
      <c r="A24" s="1475" t="s">
        <v>2806</v>
      </c>
      <c r="B24" s="1241">
        <v>3</v>
      </c>
      <c r="C24" s="1279">
        <v>12092</v>
      </c>
      <c r="D24" s="1465">
        <v>3</v>
      </c>
      <c r="E24" s="1465">
        <v>16429</v>
      </c>
      <c r="F24" s="1241">
        <v>3</v>
      </c>
      <c r="G24" s="1465">
        <v>13555</v>
      </c>
      <c r="H24" s="1241">
        <v>3</v>
      </c>
      <c r="I24" s="1243">
        <v>10928</v>
      </c>
      <c r="J24" s="1241">
        <v>2</v>
      </c>
      <c r="K24" s="1243" t="s">
        <v>2790</v>
      </c>
      <c r="N24" s="1470"/>
      <c r="O24" s="1470"/>
      <c r="P24" s="1470"/>
      <c r="Q24" s="1470"/>
    </row>
    <row r="25" spans="1:17" ht="18">
      <c r="A25" s="1475" t="s">
        <v>2807</v>
      </c>
      <c r="B25" s="1275">
        <v>2</v>
      </c>
      <c r="C25" s="1279" t="s">
        <v>2789</v>
      </c>
      <c r="D25" s="1465">
        <v>2</v>
      </c>
      <c r="E25" s="1279" t="s">
        <v>2789</v>
      </c>
      <c r="F25" s="1275">
        <v>2</v>
      </c>
      <c r="G25" s="1279" t="s">
        <v>2789</v>
      </c>
      <c r="H25" s="1275">
        <v>1</v>
      </c>
      <c r="I25" s="1243" t="s">
        <v>2789</v>
      </c>
      <c r="J25" s="1275">
        <v>1</v>
      </c>
      <c r="K25" s="1243" t="s">
        <v>2790</v>
      </c>
      <c r="N25" s="1470"/>
      <c r="O25" s="1470"/>
      <c r="P25" s="1470"/>
      <c r="Q25" s="1470"/>
    </row>
    <row r="26" spans="1:17" ht="18">
      <c r="A26" s="1475" t="s">
        <v>2808</v>
      </c>
      <c r="B26" s="1275" t="s">
        <v>345</v>
      </c>
      <c r="C26" s="1279"/>
      <c r="D26" s="1465" t="s">
        <v>384</v>
      </c>
      <c r="E26" s="1465" t="s">
        <v>384</v>
      </c>
      <c r="F26" s="1275" t="s">
        <v>384</v>
      </c>
      <c r="G26" s="1275" t="s">
        <v>384</v>
      </c>
      <c r="H26" s="1275" t="s">
        <v>384</v>
      </c>
      <c r="I26" s="1243" t="s">
        <v>384</v>
      </c>
      <c r="J26" s="1275" t="s">
        <v>384</v>
      </c>
      <c r="K26" s="1243" t="s">
        <v>384</v>
      </c>
      <c r="N26" s="1470"/>
      <c r="O26" s="1470"/>
      <c r="P26" s="1470"/>
      <c r="Q26" s="1470"/>
    </row>
    <row r="27" spans="1:17" ht="18" customHeight="1" thickBot="1">
      <c r="A27" s="1475" t="s">
        <v>33</v>
      </c>
      <c r="B27" s="1275">
        <v>1</v>
      </c>
      <c r="C27" s="1279" t="s">
        <v>2789</v>
      </c>
      <c r="D27" s="1465">
        <v>1</v>
      </c>
      <c r="E27" s="1279" t="s">
        <v>2789</v>
      </c>
      <c r="F27" s="1275">
        <v>1</v>
      </c>
      <c r="G27" s="1279" t="s">
        <v>2789</v>
      </c>
      <c r="H27" s="1476">
        <v>2</v>
      </c>
      <c r="I27" s="1467" t="s">
        <v>2789</v>
      </c>
      <c r="J27" s="1476">
        <v>2</v>
      </c>
      <c r="K27" s="1467" t="s">
        <v>2790</v>
      </c>
      <c r="L27" s="1477"/>
    </row>
    <row r="28" spans="1:17" ht="16.8" customHeight="1">
      <c r="A28" s="1479" t="s">
        <v>2809</v>
      </c>
      <c r="B28" s="1479"/>
      <c r="C28" s="1479"/>
      <c r="D28" s="1479"/>
      <c r="E28" s="1479"/>
      <c r="F28" s="1479"/>
      <c r="G28" s="1479"/>
      <c r="H28" s="1479"/>
      <c r="J28" s="1479"/>
    </row>
    <row r="29" spans="1:17" ht="16.8" customHeight="1">
      <c r="A29" s="1236" t="s">
        <v>2810</v>
      </c>
      <c r="E29" s="1477"/>
    </row>
  </sheetData>
  <mergeCells count="6">
    <mergeCell ref="J2:K2"/>
    <mergeCell ref="A2:A3"/>
    <mergeCell ref="B2:C2"/>
    <mergeCell ref="D2:E2"/>
    <mergeCell ref="F2:G2"/>
    <mergeCell ref="H2:I2"/>
  </mergeCells>
  <phoneticPr fontId="4"/>
  <pageMargins left="0.7" right="0.7" top="0.75" bottom="0.75" header="0.3" footer="0.3"/>
  <pageSetup paperSize="9" scale="9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594A6-00C4-4710-9DA0-3413CC80C233}">
  <sheetPr codeName="Sheet108"/>
  <dimension ref="A1:K25"/>
  <sheetViews>
    <sheetView zoomScaleNormal="100" workbookViewId="0"/>
  </sheetViews>
  <sheetFormatPr defaultRowHeight="13.2" outlineLevelRow="1"/>
  <cols>
    <col min="1" max="1" width="6.8984375" style="1431" customWidth="1"/>
    <col min="2" max="2" width="5.3984375" style="1431" bestFit="1" customWidth="1"/>
    <col min="3" max="11" width="10.69921875" style="1431" customWidth="1"/>
    <col min="12" max="256" width="8.796875" style="1431"/>
    <col min="257" max="257" width="6.8984375" style="1431" customWidth="1"/>
    <col min="258" max="258" width="5.3984375" style="1431" bestFit="1" customWidth="1"/>
    <col min="259" max="260" width="6.3984375" style="1431" customWidth="1"/>
    <col min="261" max="261" width="9.09765625" style="1431" customWidth="1"/>
    <col min="262" max="262" width="6.69921875" style="1431" bestFit="1" customWidth="1"/>
    <col min="263" max="263" width="5.3984375" style="1431" bestFit="1" customWidth="1"/>
    <col min="264" max="264" width="7" style="1431" customWidth="1"/>
    <col min="265" max="265" width="6.296875" style="1431" bestFit="1" customWidth="1"/>
    <col min="266" max="266" width="6.3984375" style="1431" customWidth="1"/>
    <col min="267" max="267" width="6.296875" style="1431" bestFit="1" customWidth="1"/>
    <col min="268" max="512" width="8.796875" style="1431"/>
    <col min="513" max="513" width="6.8984375" style="1431" customWidth="1"/>
    <col min="514" max="514" width="5.3984375" style="1431" bestFit="1" customWidth="1"/>
    <col min="515" max="516" width="6.3984375" style="1431" customWidth="1"/>
    <col min="517" max="517" width="9.09765625" style="1431" customWidth="1"/>
    <col min="518" max="518" width="6.69921875" style="1431" bestFit="1" customWidth="1"/>
    <col min="519" max="519" width="5.3984375" style="1431" bestFit="1" customWidth="1"/>
    <col min="520" max="520" width="7" style="1431" customWidth="1"/>
    <col min="521" max="521" width="6.296875" style="1431" bestFit="1" customWidth="1"/>
    <col min="522" max="522" width="6.3984375" style="1431" customWidth="1"/>
    <col min="523" max="523" width="6.296875" style="1431" bestFit="1" customWidth="1"/>
    <col min="524" max="768" width="8.796875" style="1431"/>
    <col min="769" max="769" width="6.8984375" style="1431" customWidth="1"/>
    <col min="770" max="770" width="5.3984375" style="1431" bestFit="1" customWidth="1"/>
    <col min="771" max="772" width="6.3984375" style="1431" customWidth="1"/>
    <col min="773" max="773" width="9.09765625" style="1431" customWidth="1"/>
    <col min="774" max="774" width="6.69921875" style="1431" bestFit="1" customWidth="1"/>
    <col min="775" max="775" width="5.3984375" style="1431" bestFit="1" customWidth="1"/>
    <col min="776" max="776" width="7" style="1431" customWidth="1"/>
    <col min="777" max="777" width="6.296875" style="1431" bestFit="1" customWidth="1"/>
    <col min="778" max="778" width="6.3984375" style="1431" customWidth="1"/>
    <col min="779" max="779" width="6.296875" style="1431" bestFit="1" customWidth="1"/>
    <col min="780" max="1024" width="8.796875" style="1431"/>
    <col min="1025" max="1025" width="6.8984375" style="1431" customWidth="1"/>
    <col min="1026" max="1026" width="5.3984375" style="1431" bestFit="1" customWidth="1"/>
    <col min="1027" max="1028" width="6.3984375" style="1431" customWidth="1"/>
    <col min="1029" max="1029" width="9.09765625" style="1431" customWidth="1"/>
    <col min="1030" max="1030" width="6.69921875" style="1431" bestFit="1" customWidth="1"/>
    <col min="1031" max="1031" width="5.3984375" style="1431" bestFit="1" customWidth="1"/>
    <col min="1032" max="1032" width="7" style="1431" customWidth="1"/>
    <col min="1033" max="1033" width="6.296875" style="1431" bestFit="1" customWidth="1"/>
    <col min="1034" max="1034" width="6.3984375" style="1431" customWidth="1"/>
    <col min="1035" max="1035" width="6.296875" style="1431" bestFit="1" customWidth="1"/>
    <col min="1036" max="1280" width="8.796875" style="1431"/>
    <col min="1281" max="1281" width="6.8984375" style="1431" customWidth="1"/>
    <col min="1282" max="1282" width="5.3984375" style="1431" bestFit="1" customWidth="1"/>
    <col min="1283" max="1284" width="6.3984375" style="1431" customWidth="1"/>
    <col min="1285" max="1285" width="9.09765625" style="1431" customWidth="1"/>
    <col min="1286" max="1286" width="6.69921875" style="1431" bestFit="1" customWidth="1"/>
    <col min="1287" max="1287" width="5.3984375" style="1431" bestFit="1" customWidth="1"/>
    <col min="1288" max="1288" width="7" style="1431" customWidth="1"/>
    <col min="1289" max="1289" width="6.296875" style="1431" bestFit="1" customWidth="1"/>
    <col min="1290" max="1290" width="6.3984375" style="1431" customWidth="1"/>
    <col min="1291" max="1291" width="6.296875" style="1431" bestFit="1" customWidth="1"/>
    <col min="1292" max="1536" width="8.796875" style="1431"/>
    <col min="1537" max="1537" width="6.8984375" style="1431" customWidth="1"/>
    <col min="1538" max="1538" width="5.3984375" style="1431" bestFit="1" customWidth="1"/>
    <col min="1539" max="1540" width="6.3984375" style="1431" customWidth="1"/>
    <col min="1541" max="1541" width="9.09765625" style="1431" customWidth="1"/>
    <col min="1542" max="1542" width="6.69921875" style="1431" bestFit="1" customWidth="1"/>
    <col min="1543" max="1543" width="5.3984375" style="1431" bestFit="1" customWidth="1"/>
    <col min="1544" max="1544" width="7" style="1431" customWidth="1"/>
    <col min="1545" max="1545" width="6.296875" style="1431" bestFit="1" customWidth="1"/>
    <col min="1546" max="1546" width="6.3984375" style="1431" customWidth="1"/>
    <col min="1547" max="1547" width="6.296875" style="1431" bestFit="1" customWidth="1"/>
    <col min="1548" max="1792" width="8.796875" style="1431"/>
    <col min="1793" max="1793" width="6.8984375" style="1431" customWidth="1"/>
    <col min="1794" max="1794" width="5.3984375" style="1431" bestFit="1" customWidth="1"/>
    <col min="1795" max="1796" width="6.3984375" style="1431" customWidth="1"/>
    <col min="1797" max="1797" width="9.09765625" style="1431" customWidth="1"/>
    <col min="1798" max="1798" width="6.69921875" style="1431" bestFit="1" customWidth="1"/>
    <col min="1799" max="1799" width="5.3984375" style="1431" bestFit="1" customWidth="1"/>
    <col min="1800" max="1800" width="7" style="1431" customWidth="1"/>
    <col min="1801" max="1801" width="6.296875" style="1431" bestFit="1" customWidth="1"/>
    <col min="1802" max="1802" width="6.3984375" style="1431" customWidth="1"/>
    <col min="1803" max="1803" width="6.296875" style="1431" bestFit="1" customWidth="1"/>
    <col min="1804" max="2048" width="8.796875" style="1431"/>
    <col min="2049" max="2049" width="6.8984375" style="1431" customWidth="1"/>
    <col min="2050" max="2050" width="5.3984375" style="1431" bestFit="1" customWidth="1"/>
    <col min="2051" max="2052" width="6.3984375" style="1431" customWidth="1"/>
    <col min="2053" max="2053" width="9.09765625" style="1431" customWidth="1"/>
    <col min="2054" max="2054" width="6.69921875" style="1431" bestFit="1" customWidth="1"/>
    <col min="2055" max="2055" width="5.3984375" style="1431" bestFit="1" customWidth="1"/>
    <col min="2056" max="2056" width="7" style="1431" customWidth="1"/>
    <col min="2057" max="2057" width="6.296875" style="1431" bestFit="1" customWidth="1"/>
    <col min="2058" max="2058" width="6.3984375" style="1431" customWidth="1"/>
    <col min="2059" max="2059" width="6.296875" style="1431" bestFit="1" customWidth="1"/>
    <col min="2060" max="2304" width="8.796875" style="1431"/>
    <col min="2305" max="2305" width="6.8984375" style="1431" customWidth="1"/>
    <col min="2306" max="2306" width="5.3984375" style="1431" bestFit="1" customWidth="1"/>
    <col min="2307" max="2308" width="6.3984375" style="1431" customWidth="1"/>
    <col min="2309" max="2309" width="9.09765625" style="1431" customWidth="1"/>
    <col min="2310" max="2310" width="6.69921875" style="1431" bestFit="1" customWidth="1"/>
    <col min="2311" max="2311" width="5.3984375" style="1431" bestFit="1" customWidth="1"/>
    <col min="2312" max="2312" width="7" style="1431" customWidth="1"/>
    <col min="2313" max="2313" width="6.296875" style="1431" bestFit="1" customWidth="1"/>
    <col min="2314" max="2314" width="6.3984375" style="1431" customWidth="1"/>
    <col min="2315" max="2315" width="6.296875" style="1431" bestFit="1" customWidth="1"/>
    <col min="2316" max="2560" width="8.796875" style="1431"/>
    <col min="2561" max="2561" width="6.8984375" style="1431" customWidth="1"/>
    <col min="2562" max="2562" width="5.3984375" style="1431" bestFit="1" customWidth="1"/>
    <col min="2563" max="2564" width="6.3984375" style="1431" customWidth="1"/>
    <col min="2565" max="2565" width="9.09765625" style="1431" customWidth="1"/>
    <col min="2566" max="2566" width="6.69921875" style="1431" bestFit="1" customWidth="1"/>
    <col min="2567" max="2567" width="5.3984375" style="1431" bestFit="1" customWidth="1"/>
    <col min="2568" max="2568" width="7" style="1431" customWidth="1"/>
    <col min="2569" max="2569" width="6.296875" style="1431" bestFit="1" customWidth="1"/>
    <col min="2570" max="2570" width="6.3984375" style="1431" customWidth="1"/>
    <col min="2571" max="2571" width="6.296875" style="1431" bestFit="1" customWidth="1"/>
    <col min="2572" max="2816" width="8.796875" style="1431"/>
    <col min="2817" max="2817" width="6.8984375" style="1431" customWidth="1"/>
    <col min="2818" max="2818" width="5.3984375" style="1431" bestFit="1" customWidth="1"/>
    <col min="2819" max="2820" width="6.3984375" style="1431" customWidth="1"/>
    <col min="2821" max="2821" width="9.09765625" style="1431" customWidth="1"/>
    <col min="2822" max="2822" width="6.69921875" style="1431" bestFit="1" customWidth="1"/>
    <col min="2823" max="2823" width="5.3984375" style="1431" bestFit="1" customWidth="1"/>
    <col min="2824" max="2824" width="7" style="1431" customWidth="1"/>
    <col min="2825" max="2825" width="6.296875" style="1431" bestFit="1" customWidth="1"/>
    <col min="2826" max="2826" width="6.3984375" style="1431" customWidth="1"/>
    <col min="2827" max="2827" width="6.296875" style="1431" bestFit="1" customWidth="1"/>
    <col min="2828" max="3072" width="8.796875" style="1431"/>
    <col min="3073" max="3073" width="6.8984375" style="1431" customWidth="1"/>
    <col min="3074" max="3074" width="5.3984375" style="1431" bestFit="1" customWidth="1"/>
    <col min="3075" max="3076" width="6.3984375" style="1431" customWidth="1"/>
    <col min="3077" max="3077" width="9.09765625" style="1431" customWidth="1"/>
    <col min="3078" max="3078" width="6.69921875" style="1431" bestFit="1" customWidth="1"/>
    <col min="3079" max="3079" width="5.3984375" style="1431" bestFit="1" customWidth="1"/>
    <col min="3080" max="3080" width="7" style="1431" customWidth="1"/>
    <col min="3081" max="3081" width="6.296875" style="1431" bestFit="1" customWidth="1"/>
    <col min="3082" max="3082" width="6.3984375" style="1431" customWidth="1"/>
    <col min="3083" max="3083" width="6.296875" style="1431" bestFit="1" customWidth="1"/>
    <col min="3084" max="3328" width="8.796875" style="1431"/>
    <col min="3329" max="3329" width="6.8984375" style="1431" customWidth="1"/>
    <col min="3330" max="3330" width="5.3984375" style="1431" bestFit="1" customWidth="1"/>
    <col min="3331" max="3332" width="6.3984375" style="1431" customWidth="1"/>
    <col min="3333" max="3333" width="9.09765625" style="1431" customWidth="1"/>
    <col min="3334" max="3334" width="6.69921875" style="1431" bestFit="1" customWidth="1"/>
    <col min="3335" max="3335" width="5.3984375" style="1431" bestFit="1" customWidth="1"/>
    <col min="3336" max="3336" width="7" style="1431" customWidth="1"/>
    <col min="3337" max="3337" width="6.296875" style="1431" bestFit="1" customWidth="1"/>
    <col min="3338" max="3338" width="6.3984375" style="1431" customWidth="1"/>
    <col min="3339" max="3339" width="6.296875" style="1431" bestFit="1" customWidth="1"/>
    <col min="3340" max="3584" width="8.796875" style="1431"/>
    <col min="3585" max="3585" width="6.8984375" style="1431" customWidth="1"/>
    <col min="3586" max="3586" width="5.3984375" style="1431" bestFit="1" customWidth="1"/>
    <col min="3587" max="3588" width="6.3984375" style="1431" customWidth="1"/>
    <col min="3589" max="3589" width="9.09765625" style="1431" customWidth="1"/>
    <col min="3590" max="3590" width="6.69921875" style="1431" bestFit="1" customWidth="1"/>
    <col min="3591" max="3591" width="5.3984375" style="1431" bestFit="1" customWidth="1"/>
    <col min="3592" max="3592" width="7" style="1431" customWidth="1"/>
    <col min="3593" max="3593" width="6.296875" style="1431" bestFit="1" customWidth="1"/>
    <col min="3594" max="3594" width="6.3984375" style="1431" customWidth="1"/>
    <col min="3595" max="3595" width="6.296875" style="1431" bestFit="1" customWidth="1"/>
    <col min="3596" max="3840" width="8.796875" style="1431"/>
    <col min="3841" max="3841" width="6.8984375" style="1431" customWidth="1"/>
    <col min="3842" max="3842" width="5.3984375" style="1431" bestFit="1" customWidth="1"/>
    <col min="3843" max="3844" width="6.3984375" style="1431" customWidth="1"/>
    <col min="3845" max="3845" width="9.09765625" style="1431" customWidth="1"/>
    <col min="3846" max="3846" width="6.69921875" style="1431" bestFit="1" customWidth="1"/>
    <col min="3847" max="3847" width="5.3984375" style="1431" bestFit="1" customWidth="1"/>
    <col min="3848" max="3848" width="7" style="1431" customWidth="1"/>
    <col min="3849" max="3849" width="6.296875" style="1431" bestFit="1" customWidth="1"/>
    <col min="3850" max="3850" width="6.3984375" style="1431" customWidth="1"/>
    <col min="3851" max="3851" width="6.296875" style="1431" bestFit="1" customWidth="1"/>
    <col min="3852" max="4096" width="8.796875" style="1431"/>
    <col min="4097" max="4097" width="6.8984375" style="1431" customWidth="1"/>
    <col min="4098" max="4098" width="5.3984375" style="1431" bestFit="1" customWidth="1"/>
    <col min="4099" max="4100" width="6.3984375" style="1431" customWidth="1"/>
    <col min="4101" max="4101" width="9.09765625" style="1431" customWidth="1"/>
    <col min="4102" max="4102" width="6.69921875" style="1431" bestFit="1" customWidth="1"/>
    <col min="4103" max="4103" width="5.3984375" style="1431" bestFit="1" customWidth="1"/>
    <col min="4104" max="4104" width="7" style="1431" customWidth="1"/>
    <col min="4105" max="4105" width="6.296875" style="1431" bestFit="1" customWidth="1"/>
    <col min="4106" max="4106" width="6.3984375" style="1431" customWidth="1"/>
    <col min="4107" max="4107" width="6.296875" style="1431" bestFit="1" customWidth="1"/>
    <col min="4108" max="4352" width="8.796875" style="1431"/>
    <col min="4353" max="4353" width="6.8984375" style="1431" customWidth="1"/>
    <col min="4354" max="4354" width="5.3984375" style="1431" bestFit="1" customWidth="1"/>
    <col min="4355" max="4356" width="6.3984375" style="1431" customWidth="1"/>
    <col min="4357" max="4357" width="9.09765625" style="1431" customWidth="1"/>
    <col min="4358" max="4358" width="6.69921875" style="1431" bestFit="1" customWidth="1"/>
    <col min="4359" max="4359" width="5.3984375" style="1431" bestFit="1" customWidth="1"/>
    <col min="4360" max="4360" width="7" style="1431" customWidth="1"/>
    <col min="4361" max="4361" width="6.296875" style="1431" bestFit="1" customWidth="1"/>
    <col min="4362" max="4362" width="6.3984375" style="1431" customWidth="1"/>
    <col min="4363" max="4363" width="6.296875" style="1431" bestFit="1" customWidth="1"/>
    <col min="4364" max="4608" width="8.796875" style="1431"/>
    <col min="4609" max="4609" width="6.8984375" style="1431" customWidth="1"/>
    <col min="4610" max="4610" width="5.3984375" style="1431" bestFit="1" customWidth="1"/>
    <col min="4611" max="4612" width="6.3984375" style="1431" customWidth="1"/>
    <col min="4613" max="4613" width="9.09765625" style="1431" customWidth="1"/>
    <col min="4614" max="4614" width="6.69921875" style="1431" bestFit="1" customWidth="1"/>
    <col min="4615" max="4615" width="5.3984375" style="1431" bestFit="1" customWidth="1"/>
    <col min="4616" max="4616" width="7" style="1431" customWidth="1"/>
    <col min="4617" max="4617" width="6.296875" style="1431" bestFit="1" customWidth="1"/>
    <col min="4618" max="4618" width="6.3984375" style="1431" customWidth="1"/>
    <col min="4619" max="4619" width="6.296875" style="1431" bestFit="1" customWidth="1"/>
    <col min="4620" max="4864" width="8.796875" style="1431"/>
    <col min="4865" max="4865" width="6.8984375" style="1431" customWidth="1"/>
    <col min="4866" max="4866" width="5.3984375" style="1431" bestFit="1" customWidth="1"/>
    <col min="4867" max="4868" width="6.3984375" style="1431" customWidth="1"/>
    <col min="4869" max="4869" width="9.09765625" style="1431" customWidth="1"/>
    <col min="4870" max="4870" width="6.69921875" style="1431" bestFit="1" customWidth="1"/>
    <col min="4871" max="4871" width="5.3984375" style="1431" bestFit="1" customWidth="1"/>
    <col min="4872" max="4872" width="7" style="1431" customWidth="1"/>
    <col min="4873" max="4873" width="6.296875" style="1431" bestFit="1" customWidth="1"/>
    <col min="4874" max="4874" width="6.3984375" style="1431" customWidth="1"/>
    <col min="4875" max="4875" width="6.296875" style="1431" bestFit="1" customWidth="1"/>
    <col min="4876" max="5120" width="8.796875" style="1431"/>
    <col min="5121" max="5121" width="6.8984375" style="1431" customWidth="1"/>
    <col min="5122" max="5122" width="5.3984375" style="1431" bestFit="1" customWidth="1"/>
    <col min="5123" max="5124" width="6.3984375" style="1431" customWidth="1"/>
    <col min="5125" max="5125" width="9.09765625" style="1431" customWidth="1"/>
    <col min="5126" max="5126" width="6.69921875" style="1431" bestFit="1" customWidth="1"/>
    <col min="5127" max="5127" width="5.3984375" style="1431" bestFit="1" customWidth="1"/>
    <col min="5128" max="5128" width="7" style="1431" customWidth="1"/>
    <col min="5129" max="5129" width="6.296875" style="1431" bestFit="1" customWidth="1"/>
    <col min="5130" max="5130" width="6.3984375" style="1431" customWidth="1"/>
    <col min="5131" max="5131" width="6.296875" style="1431" bestFit="1" customWidth="1"/>
    <col min="5132" max="5376" width="8.796875" style="1431"/>
    <col min="5377" max="5377" width="6.8984375" style="1431" customWidth="1"/>
    <col min="5378" max="5378" width="5.3984375" style="1431" bestFit="1" customWidth="1"/>
    <col min="5379" max="5380" width="6.3984375" style="1431" customWidth="1"/>
    <col min="5381" max="5381" width="9.09765625" style="1431" customWidth="1"/>
    <col min="5382" max="5382" width="6.69921875" style="1431" bestFit="1" customWidth="1"/>
    <col min="5383" max="5383" width="5.3984375" style="1431" bestFit="1" customWidth="1"/>
    <col min="5384" max="5384" width="7" style="1431" customWidth="1"/>
    <col min="5385" max="5385" width="6.296875" style="1431" bestFit="1" customWidth="1"/>
    <col min="5386" max="5386" width="6.3984375" style="1431" customWidth="1"/>
    <col min="5387" max="5387" width="6.296875" style="1431" bestFit="1" customWidth="1"/>
    <col min="5388" max="5632" width="8.796875" style="1431"/>
    <col min="5633" max="5633" width="6.8984375" style="1431" customWidth="1"/>
    <col min="5634" max="5634" width="5.3984375" style="1431" bestFit="1" customWidth="1"/>
    <col min="5635" max="5636" width="6.3984375" style="1431" customWidth="1"/>
    <col min="5637" max="5637" width="9.09765625" style="1431" customWidth="1"/>
    <col min="5638" max="5638" width="6.69921875" style="1431" bestFit="1" customWidth="1"/>
    <col min="5639" max="5639" width="5.3984375" style="1431" bestFit="1" customWidth="1"/>
    <col min="5640" max="5640" width="7" style="1431" customWidth="1"/>
    <col min="5641" max="5641" width="6.296875" style="1431" bestFit="1" customWidth="1"/>
    <col min="5642" max="5642" width="6.3984375" style="1431" customWidth="1"/>
    <col min="5643" max="5643" width="6.296875" style="1431" bestFit="1" customWidth="1"/>
    <col min="5644" max="5888" width="8.796875" style="1431"/>
    <col min="5889" max="5889" width="6.8984375" style="1431" customWidth="1"/>
    <col min="5890" max="5890" width="5.3984375" style="1431" bestFit="1" customWidth="1"/>
    <col min="5891" max="5892" width="6.3984375" style="1431" customWidth="1"/>
    <col min="5893" max="5893" width="9.09765625" style="1431" customWidth="1"/>
    <col min="5894" max="5894" width="6.69921875" style="1431" bestFit="1" customWidth="1"/>
    <col min="5895" max="5895" width="5.3984375" style="1431" bestFit="1" customWidth="1"/>
    <col min="5896" max="5896" width="7" style="1431" customWidth="1"/>
    <col min="5897" max="5897" width="6.296875" style="1431" bestFit="1" customWidth="1"/>
    <col min="5898" max="5898" width="6.3984375" style="1431" customWidth="1"/>
    <col min="5899" max="5899" width="6.296875" style="1431" bestFit="1" customWidth="1"/>
    <col min="5900" max="6144" width="8.796875" style="1431"/>
    <col min="6145" max="6145" width="6.8984375" style="1431" customWidth="1"/>
    <col min="6146" max="6146" width="5.3984375" style="1431" bestFit="1" customWidth="1"/>
    <col min="6147" max="6148" width="6.3984375" style="1431" customWidth="1"/>
    <col min="6149" max="6149" width="9.09765625" style="1431" customWidth="1"/>
    <col min="6150" max="6150" width="6.69921875" style="1431" bestFit="1" customWidth="1"/>
    <col min="6151" max="6151" width="5.3984375" style="1431" bestFit="1" customWidth="1"/>
    <col min="6152" max="6152" width="7" style="1431" customWidth="1"/>
    <col min="6153" max="6153" width="6.296875" style="1431" bestFit="1" customWidth="1"/>
    <col min="6154" max="6154" width="6.3984375" style="1431" customWidth="1"/>
    <col min="6155" max="6155" width="6.296875" style="1431" bestFit="1" customWidth="1"/>
    <col min="6156" max="6400" width="8.796875" style="1431"/>
    <col min="6401" max="6401" width="6.8984375" style="1431" customWidth="1"/>
    <col min="6402" max="6402" width="5.3984375" style="1431" bestFit="1" customWidth="1"/>
    <col min="6403" max="6404" width="6.3984375" style="1431" customWidth="1"/>
    <col min="6405" max="6405" width="9.09765625" style="1431" customWidth="1"/>
    <col min="6406" max="6406" width="6.69921875" style="1431" bestFit="1" customWidth="1"/>
    <col min="6407" max="6407" width="5.3984375" style="1431" bestFit="1" customWidth="1"/>
    <col min="6408" max="6408" width="7" style="1431" customWidth="1"/>
    <col min="6409" max="6409" width="6.296875" style="1431" bestFit="1" customWidth="1"/>
    <col min="6410" max="6410" width="6.3984375" style="1431" customWidth="1"/>
    <col min="6411" max="6411" width="6.296875" style="1431" bestFit="1" customWidth="1"/>
    <col min="6412" max="6656" width="8.796875" style="1431"/>
    <col min="6657" max="6657" width="6.8984375" style="1431" customWidth="1"/>
    <col min="6658" max="6658" width="5.3984375" style="1431" bestFit="1" customWidth="1"/>
    <col min="6659" max="6660" width="6.3984375" style="1431" customWidth="1"/>
    <col min="6661" max="6661" width="9.09765625" style="1431" customWidth="1"/>
    <col min="6662" max="6662" width="6.69921875" style="1431" bestFit="1" customWidth="1"/>
    <col min="6663" max="6663" width="5.3984375" style="1431" bestFit="1" customWidth="1"/>
    <col min="6664" max="6664" width="7" style="1431" customWidth="1"/>
    <col min="6665" max="6665" width="6.296875" style="1431" bestFit="1" customWidth="1"/>
    <col min="6666" max="6666" width="6.3984375" style="1431" customWidth="1"/>
    <col min="6667" max="6667" width="6.296875" style="1431" bestFit="1" customWidth="1"/>
    <col min="6668" max="6912" width="8.796875" style="1431"/>
    <col min="6913" max="6913" width="6.8984375" style="1431" customWidth="1"/>
    <col min="6914" max="6914" width="5.3984375" style="1431" bestFit="1" customWidth="1"/>
    <col min="6915" max="6916" width="6.3984375" style="1431" customWidth="1"/>
    <col min="6917" max="6917" width="9.09765625" style="1431" customWidth="1"/>
    <col min="6918" max="6918" width="6.69921875" style="1431" bestFit="1" customWidth="1"/>
    <col min="6919" max="6919" width="5.3984375" style="1431" bestFit="1" customWidth="1"/>
    <col min="6920" max="6920" width="7" style="1431" customWidth="1"/>
    <col min="6921" max="6921" width="6.296875" style="1431" bestFit="1" customWidth="1"/>
    <col min="6922" max="6922" width="6.3984375" style="1431" customWidth="1"/>
    <col min="6923" max="6923" width="6.296875" style="1431" bestFit="1" customWidth="1"/>
    <col min="6924" max="7168" width="8.796875" style="1431"/>
    <col min="7169" max="7169" width="6.8984375" style="1431" customWidth="1"/>
    <col min="7170" max="7170" width="5.3984375" style="1431" bestFit="1" customWidth="1"/>
    <col min="7171" max="7172" width="6.3984375" style="1431" customWidth="1"/>
    <col min="7173" max="7173" width="9.09765625" style="1431" customWidth="1"/>
    <col min="7174" max="7174" width="6.69921875" style="1431" bestFit="1" customWidth="1"/>
    <col min="7175" max="7175" width="5.3984375" style="1431" bestFit="1" customWidth="1"/>
    <col min="7176" max="7176" width="7" style="1431" customWidth="1"/>
    <col min="7177" max="7177" width="6.296875" style="1431" bestFit="1" customWidth="1"/>
    <col min="7178" max="7178" width="6.3984375" style="1431" customWidth="1"/>
    <col min="7179" max="7179" width="6.296875" style="1431" bestFit="1" customWidth="1"/>
    <col min="7180" max="7424" width="8.796875" style="1431"/>
    <col min="7425" max="7425" width="6.8984375" style="1431" customWidth="1"/>
    <col min="7426" max="7426" width="5.3984375" style="1431" bestFit="1" customWidth="1"/>
    <col min="7427" max="7428" width="6.3984375" style="1431" customWidth="1"/>
    <col min="7429" max="7429" width="9.09765625" style="1431" customWidth="1"/>
    <col min="7430" max="7430" width="6.69921875" style="1431" bestFit="1" customWidth="1"/>
    <col min="7431" max="7431" width="5.3984375" style="1431" bestFit="1" customWidth="1"/>
    <col min="7432" max="7432" width="7" style="1431" customWidth="1"/>
    <col min="7433" max="7433" width="6.296875" style="1431" bestFit="1" customWidth="1"/>
    <col min="7434" max="7434" width="6.3984375" style="1431" customWidth="1"/>
    <col min="7435" max="7435" width="6.296875" style="1431" bestFit="1" customWidth="1"/>
    <col min="7436" max="7680" width="8.796875" style="1431"/>
    <col min="7681" max="7681" width="6.8984375" style="1431" customWidth="1"/>
    <col min="7682" max="7682" width="5.3984375" style="1431" bestFit="1" customWidth="1"/>
    <col min="7683" max="7684" width="6.3984375" style="1431" customWidth="1"/>
    <col min="7685" max="7685" width="9.09765625" style="1431" customWidth="1"/>
    <col min="7686" max="7686" width="6.69921875" style="1431" bestFit="1" customWidth="1"/>
    <col min="7687" max="7687" width="5.3984375" style="1431" bestFit="1" customWidth="1"/>
    <col min="7688" max="7688" width="7" style="1431" customWidth="1"/>
    <col min="7689" max="7689" width="6.296875" style="1431" bestFit="1" customWidth="1"/>
    <col min="7690" max="7690" width="6.3984375" style="1431" customWidth="1"/>
    <col min="7691" max="7691" width="6.296875" style="1431" bestFit="1" customWidth="1"/>
    <col min="7692" max="7936" width="8.796875" style="1431"/>
    <col min="7937" max="7937" width="6.8984375" style="1431" customWidth="1"/>
    <col min="7938" max="7938" width="5.3984375" style="1431" bestFit="1" customWidth="1"/>
    <col min="7939" max="7940" width="6.3984375" style="1431" customWidth="1"/>
    <col min="7941" max="7941" width="9.09765625" style="1431" customWidth="1"/>
    <col min="7942" max="7942" width="6.69921875" style="1431" bestFit="1" customWidth="1"/>
    <col min="7943" max="7943" width="5.3984375" style="1431" bestFit="1" customWidth="1"/>
    <col min="7944" max="7944" width="7" style="1431" customWidth="1"/>
    <col min="7945" max="7945" width="6.296875" style="1431" bestFit="1" customWidth="1"/>
    <col min="7946" max="7946" width="6.3984375" style="1431" customWidth="1"/>
    <col min="7947" max="7947" width="6.296875" style="1431" bestFit="1" customWidth="1"/>
    <col min="7948" max="8192" width="8.796875" style="1431"/>
    <col min="8193" max="8193" width="6.8984375" style="1431" customWidth="1"/>
    <col min="8194" max="8194" width="5.3984375" style="1431" bestFit="1" customWidth="1"/>
    <col min="8195" max="8196" width="6.3984375" style="1431" customWidth="1"/>
    <col min="8197" max="8197" width="9.09765625" style="1431" customWidth="1"/>
    <col min="8198" max="8198" width="6.69921875" style="1431" bestFit="1" customWidth="1"/>
    <col min="8199" max="8199" width="5.3984375" style="1431" bestFit="1" customWidth="1"/>
    <col min="8200" max="8200" width="7" style="1431" customWidth="1"/>
    <col min="8201" max="8201" width="6.296875" style="1431" bestFit="1" customWidth="1"/>
    <col min="8202" max="8202" width="6.3984375" style="1431" customWidth="1"/>
    <col min="8203" max="8203" width="6.296875" style="1431" bestFit="1" customWidth="1"/>
    <col min="8204" max="8448" width="8.796875" style="1431"/>
    <col min="8449" max="8449" width="6.8984375" style="1431" customWidth="1"/>
    <col min="8450" max="8450" width="5.3984375" style="1431" bestFit="1" customWidth="1"/>
    <col min="8451" max="8452" width="6.3984375" style="1431" customWidth="1"/>
    <col min="8453" max="8453" width="9.09765625" style="1431" customWidth="1"/>
    <col min="8454" max="8454" width="6.69921875" style="1431" bestFit="1" customWidth="1"/>
    <col min="8455" max="8455" width="5.3984375" style="1431" bestFit="1" customWidth="1"/>
    <col min="8456" max="8456" width="7" style="1431" customWidth="1"/>
    <col min="8457" max="8457" width="6.296875" style="1431" bestFit="1" customWidth="1"/>
    <col min="8458" max="8458" width="6.3984375" style="1431" customWidth="1"/>
    <col min="8459" max="8459" width="6.296875" style="1431" bestFit="1" customWidth="1"/>
    <col min="8460" max="8704" width="8.796875" style="1431"/>
    <col min="8705" max="8705" width="6.8984375" style="1431" customWidth="1"/>
    <col min="8706" max="8706" width="5.3984375" style="1431" bestFit="1" customWidth="1"/>
    <col min="8707" max="8708" width="6.3984375" style="1431" customWidth="1"/>
    <col min="8709" max="8709" width="9.09765625" style="1431" customWidth="1"/>
    <col min="8710" max="8710" width="6.69921875" style="1431" bestFit="1" customWidth="1"/>
    <col min="8711" max="8711" width="5.3984375" style="1431" bestFit="1" customWidth="1"/>
    <col min="8712" max="8712" width="7" style="1431" customWidth="1"/>
    <col min="8713" max="8713" width="6.296875" style="1431" bestFit="1" customWidth="1"/>
    <col min="8714" max="8714" width="6.3984375" style="1431" customWidth="1"/>
    <col min="8715" max="8715" width="6.296875" style="1431" bestFit="1" customWidth="1"/>
    <col min="8716" max="8960" width="8.796875" style="1431"/>
    <col min="8961" max="8961" width="6.8984375" style="1431" customWidth="1"/>
    <col min="8962" max="8962" width="5.3984375" style="1431" bestFit="1" customWidth="1"/>
    <col min="8963" max="8964" width="6.3984375" style="1431" customWidth="1"/>
    <col min="8965" max="8965" width="9.09765625" style="1431" customWidth="1"/>
    <col min="8966" max="8966" width="6.69921875" style="1431" bestFit="1" customWidth="1"/>
    <col min="8967" max="8967" width="5.3984375" style="1431" bestFit="1" customWidth="1"/>
    <col min="8968" max="8968" width="7" style="1431" customWidth="1"/>
    <col min="8969" max="8969" width="6.296875" style="1431" bestFit="1" customWidth="1"/>
    <col min="8970" max="8970" width="6.3984375" style="1431" customWidth="1"/>
    <col min="8971" max="8971" width="6.296875" style="1431" bestFit="1" customWidth="1"/>
    <col min="8972" max="9216" width="8.796875" style="1431"/>
    <col min="9217" max="9217" width="6.8984375" style="1431" customWidth="1"/>
    <col min="9218" max="9218" width="5.3984375" style="1431" bestFit="1" customWidth="1"/>
    <col min="9219" max="9220" width="6.3984375" style="1431" customWidth="1"/>
    <col min="9221" max="9221" width="9.09765625" style="1431" customWidth="1"/>
    <col min="9222" max="9222" width="6.69921875" style="1431" bestFit="1" customWidth="1"/>
    <col min="9223" max="9223" width="5.3984375" style="1431" bestFit="1" customWidth="1"/>
    <col min="9224" max="9224" width="7" style="1431" customWidth="1"/>
    <col min="9225" max="9225" width="6.296875" style="1431" bestFit="1" customWidth="1"/>
    <col min="9226" max="9226" width="6.3984375" style="1431" customWidth="1"/>
    <col min="9227" max="9227" width="6.296875" style="1431" bestFit="1" customWidth="1"/>
    <col min="9228" max="9472" width="8.796875" style="1431"/>
    <col min="9473" max="9473" width="6.8984375" style="1431" customWidth="1"/>
    <col min="9474" max="9474" width="5.3984375" style="1431" bestFit="1" customWidth="1"/>
    <col min="9475" max="9476" width="6.3984375" style="1431" customWidth="1"/>
    <col min="9477" max="9477" width="9.09765625" style="1431" customWidth="1"/>
    <col min="9478" max="9478" width="6.69921875" style="1431" bestFit="1" customWidth="1"/>
    <col min="9479" max="9479" width="5.3984375" style="1431" bestFit="1" customWidth="1"/>
    <col min="9480" max="9480" width="7" style="1431" customWidth="1"/>
    <col min="9481" max="9481" width="6.296875" style="1431" bestFit="1" customWidth="1"/>
    <col min="9482" max="9482" width="6.3984375" style="1431" customWidth="1"/>
    <col min="9483" max="9483" width="6.296875" style="1431" bestFit="1" customWidth="1"/>
    <col min="9484" max="9728" width="8.796875" style="1431"/>
    <col min="9729" max="9729" width="6.8984375" style="1431" customWidth="1"/>
    <col min="9730" max="9730" width="5.3984375" style="1431" bestFit="1" customWidth="1"/>
    <col min="9731" max="9732" width="6.3984375" style="1431" customWidth="1"/>
    <col min="9733" max="9733" width="9.09765625" style="1431" customWidth="1"/>
    <col min="9734" max="9734" width="6.69921875" style="1431" bestFit="1" customWidth="1"/>
    <col min="9735" max="9735" width="5.3984375" style="1431" bestFit="1" customWidth="1"/>
    <col min="9736" max="9736" width="7" style="1431" customWidth="1"/>
    <col min="9737" max="9737" width="6.296875" style="1431" bestFit="1" customWidth="1"/>
    <col min="9738" max="9738" width="6.3984375" style="1431" customWidth="1"/>
    <col min="9739" max="9739" width="6.296875" style="1431" bestFit="1" customWidth="1"/>
    <col min="9740" max="9984" width="8.796875" style="1431"/>
    <col min="9985" max="9985" width="6.8984375" style="1431" customWidth="1"/>
    <col min="9986" max="9986" width="5.3984375" style="1431" bestFit="1" customWidth="1"/>
    <col min="9987" max="9988" width="6.3984375" style="1431" customWidth="1"/>
    <col min="9989" max="9989" width="9.09765625" style="1431" customWidth="1"/>
    <col min="9990" max="9990" width="6.69921875" style="1431" bestFit="1" customWidth="1"/>
    <col min="9991" max="9991" width="5.3984375" style="1431" bestFit="1" customWidth="1"/>
    <col min="9992" max="9992" width="7" style="1431" customWidth="1"/>
    <col min="9993" max="9993" width="6.296875" style="1431" bestFit="1" customWidth="1"/>
    <col min="9994" max="9994" width="6.3984375" style="1431" customWidth="1"/>
    <col min="9995" max="9995" width="6.296875" style="1431" bestFit="1" customWidth="1"/>
    <col min="9996" max="10240" width="8.796875" style="1431"/>
    <col min="10241" max="10241" width="6.8984375" style="1431" customWidth="1"/>
    <col min="10242" max="10242" width="5.3984375" style="1431" bestFit="1" customWidth="1"/>
    <col min="10243" max="10244" width="6.3984375" style="1431" customWidth="1"/>
    <col min="10245" max="10245" width="9.09765625" style="1431" customWidth="1"/>
    <col min="10246" max="10246" width="6.69921875" style="1431" bestFit="1" customWidth="1"/>
    <col min="10247" max="10247" width="5.3984375" style="1431" bestFit="1" customWidth="1"/>
    <col min="10248" max="10248" width="7" style="1431" customWidth="1"/>
    <col min="10249" max="10249" width="6.296875" style="1431" bestFit="1" customWidth="1"/>
    <col min="10250" max="10250" width="6.3984375" style="1431" customWidth="1"/>
    <col min="10251" max="10251" width="6.296875" style="1431" bestFit="1" customWidth="1"/>
    <col min="10252" max="10496" width="8.796875" style="1431"/>
    <col min="10497" max="10497" width="6.8984375" style="1431" customWidth="1"/>
    <col min="10498" max="10498" width="5.3984375" style="1431" bestFit="1" customWidth="1"/>
    <col min="10499" max="10500" width="6.3984375" style="1431" customWidth="1"/>
    <col min="10501" max="10501" width="9.09765625" style="1431" customWidth="1"/>
    <col min="10502" max="10502" width="6.69921875" style="1431" bestFit="1" customWidth="1"/>
    <col min="10503" max="10503" width="5.3984375" style="1431" bestFit="1" customWidth="1"/>
    <col min="10504" max="10504" width="7" style="1431" customWidth="1"/>
    <col min="10505" max="10505" width="6.296875" style="1431" bestFit="1" customWidth="1"/>
    <col min="10506" max="10506" width="6.3984375" style="1431" customWidth="1"/>
    <col min="10507" max="10507" width="6.296875" style="1431" bestFit="1" customWidth="1"/>
    <col min="10508" max="10752" width="8.796875" style="1431"/>
    <col min="10753" max="10753" width="6.8984375" style="1431" customWidth="1"/>
    <col min="10754" max="10754" width="5.3984375" style="1431" bestFit="1" customWidth="1"/>
    <col min="10755" max="10756" width="6.3984375" style="1431" customWidth="1"/>
    <col min="10757" max="10757" width="9.09765625" style="1431" customWidth="1"/>
    <col min="10758" max="10758" width="6.69921875" style="1431" bestFit="1" customWidth="1"/>
    <col min="10759" max="10759" width="5.3984375" style="1431" bestFit="1" customWidth="1"/>
    <col min="10760" max="10760" width="7" style="1431" customWidth="1"/>
    <col min="10761" max="10761" width="6.296875" style="1431" bestFit="1" customWidth="1"/>
    <col min="10762" max="10762" width="6.3984375" style="1431" customWidth="1"/>
    <col min="10763" max="10763" width="6.296875" style="1431" bestFit="1" customWidth="1"/>
    <col min="10764" max="11008" width="8.796875" style="1431"/>
    <col min="11009" max="11009" width="6.8984375" style="1431" customWidth="1"/>
    <col min="11010" max="11010" width="5.3984375" style="1431" bestFit="1" customWidth="1"/>
    <col min="11011" max="11012" width="6.3984375" style="1431" customWidth="1"/>
    <col min="11013" max="11013" width="9.09765625" style="1431" customWidth="1"/>
    <col min="11014" max="11014" width="6.69921875" style="1431" bestFit="1" customWidth="1"/>
    <col min="11015" max="11015" width="5.3984375" style="1431" bestFit="1" customWidth="1"/>
    <col min="11016" max="11016" width="7" style="1431" customWidth="1"/>
    <col min="11017" max="11017" width="6.296875" style="1431" bestFit="1" customWidth="1"/>
    <col min="11018" max="11018" width="6.3984375" style="1431" customWidth="1"/>
    <col min="11019" max="11019" width="6.296875" style="1431" bestFit="1" customWidth="1"/>
    <col min="11020" max="11264" width="8.796875" style="1431"/>
    <col min="11265" max="11265" width="6.8984375" style="1431" customWidth="1"/>
    <col min="11266" max="11266" width="5.3984375" style="1431" bestFit="1" customWidth="1"/>
    <col min="11267" max="11268" width="6.3984375" style="1431" customWidth="1"/>
    <col min="11269" max="11269" width="9.09765625" style="1431" customWidth="1"/>
    <col min="11270" max="11270" width="6.69921875" style="1431" bestFit="1" customWidth="1"/>
    <col min="11271" max="11271" width="5.3984375" style="1431" bestFit="1" customWidth="1"/>
    <col min="11272" max="11272" width="7" style="1431" customWidth="1"/>
    <col min="11273" max="11273" width="6.296875" style="1431" bestFit="1" customWidth="1"/>
    <col min="11274" max="11274" width="6.3984375" style="1431" customWidth="1"/>
    <col min="11275" max="11275" width="6.296875" style="1431" bestFit="1" customWidth="1"/>
    <col min="11276" max="11520" width="8.796875" style="1431"/>
    <col min="11521" max="11521" width="6.8984375" style="1431" customWidth="1"/>
    <col min="11522" max="11522" width="5.3984375" style="1431" bestFit="1" customWidth="1"/>
    <col min="11523" max="11524" width="6.3984375" style="1431" customWidth="1"/>
    <col min="11525" max="11525" width="9.09765625" style="1431" customWidth="1"/>
    <col min="11526" max="11526" width="6.69921875" style="1431" bestFit="1" customWidth="1"/>
    <col min="11527" max="11527" width="5.3984375" style="1431" bestFit="1" customWidth="1"/>
    <col min="11528" max="11528" width="7" style="1431" customWidth="1"/>
    <col min="11529" max="11529" width="6.296875" style="1431" bestFit="1" customWidth="1"/>
    <col min="11530" max="11530" width="6.3984375" style="1431" customWidth="1"/>
    <col min="11531" max="11531" width="6.296875" style="1431" bestFit="1" customWidth="1"/>
    <col min="11532" max="11776" width="8.796875" style="1431"/>
    <col min="11777" max="11777" width="6.8984375" style="1431" customWidth="1"/>
    <col min="11778" max="11778" width="5.3984375" style="1431" bestFit="1" customWidth="1"/>
    <col min="11779" max="11780" width="6.3984375" style="1431" customWidth="1"/>
    <col min="11781" max="11781" width="9.09765625" style="1431" customWidth="1"/>
    <col min="11782" max="11782" width="6.69921875" style="1431" bestFit="1" customWidth="1"/>
    <col min="11783" max="11783" width="5.3984375" style="1431" bestFit="1" customWidth="1"/>
    <col min="11784" max="11784" width="7" style="1431" customWidth="1"/>
    <col min="11785" max="11785" width="6.296875" style="1431" bestFit="1" customWidth="1"/>
    <col min="11786" max="11786" width="6.3984375" style="1431" customWidth="1"/>
    <col min="11787" max="11787" width="6.296875" style="1431" bestFit="1" customWidth="1"/>
    <col min="11788" max="12032" width="8.796875" style="1431"/>
    <col min="12033" max="12033" width="6.8984375" style="1431" customWidth="1"/>
    <col min="12034" max="12034" width="5.3984375" style="1431" bestFit="1" customWidth="1"/>
    <col min="12035" max="12036" width="6.3984375" style="1431" customWidth="1"/>
    <col min="12037" max="12037" width="9.09765625" style="1431" customWidth="1"/>
    <col min="12038" max="12038" width="6.69921875" style="1431" bestFit="1" customWidth="1"/>
    <col min="12039" max="12039" width="5.3984375" style="1431" bestFit="1" customWidth="1"/>
    <col min="12040" max="12040" width="7" style="1431" customWidth="1"/>
    <col min="12041" max="12041" width="6.296875" style="1431" bestFit="1" customWidth="1"/>
    <col min="12042" max="12042" width="6.3984375" style="1431" customWidth="1"/>
    <col min="12043" max="12043" width="6.296875" style="1431" bestFit="1" customWidth="1"/>
    <col min="12044" max="12288" width="8.796875" style="1431"/>
    <col min="12289" max="12289" width="6.8984375" style="1431" customWidth="1"/>
    <col min="12290" max="12290" width="5.3984375" style="1431" bestFit="1" customWidth="1"/>
    <col min="12291" max="12292" width="6.3984375" style="1431" customWidth="1"/>
    <col min="12293" max="12293" width="9.09765625" style="1431" customWidth="1"/>
    <col min="12294" max="12294" width="6.69921875" style="1431" bestFit="1" customWidth="1"/>
    <col min="12295" max="12295" width="5.3984375" style="1431" bestFit="1" customWidth="1"/>
    <col min="12296" max="12296" width="7" style="1431" customWidth="1"/>
    <col min="12297" max="12297" width="6.296875" style="1431" bestFit="1" customWidth="1"/>
    <col min="12298" max="12298" width="6.3984375" style="1431" customWidth="1"/>
    <col min="12299" max="12299" width="6.296875" style="1431" bestFit="1" customWidth="1"/>
    <col min="12300" max="12544" width="8.796875" style="1431"/>
    <col min="12545" max="12545" width="6.8984375" style="1431" customWidth="1"/>
    <col min="12546" max="12546" width="5.3984375" style="1431" bestFit="1" customWidth="1"/>
    <col min="12547" max="12548" width="6.3984375" style="1431" customWidth="1"/>
    <col min="12549" max="12549" width="9.09765625" style="1431" customWidth="1"/>
    <col min="12550" max="12550" width="6.69921875" style="1431" bestFit="1" customWidth="1"/>
    <col min="12551" max="12551" width="5.3984375" style="1431" bestFit="1" customWidth="1"/>
    <col min="12552" max="12552" width="7" style="1431" customWidth="1"/>
    <col min="12553" max="12553" width="6.296875" style="1431" bestFit="1" customWidth="1"/>
    <col min="12554" max="12554" width="6.3984375" style="1431" customWidth="1"/>
    <col min="12555" max="12555" width="6.296875" style="1431" bestFit="1" customWidth="1"/>
    <col min="12556" max="12800" width="8.796875" style="1431"/>
    <col min="12801" max="12801" width="6.8984375" style="1431" customWidth="1"/>
    <col min="12802" max="12802" width="5.3984375" style="1431" bestFit="1" customWidth="1"/>
    <col min="12803" max="12804" width="6.3984375" style="1431" customWidth="1"/>
    <col min="12805" max="12805" width="9.09765625" style="1431" customWidth="1"/>
    <col min="12806" max="12806" width="6.69921875" style="1431" bestFit="1" customWidth="1"/>
    <col min="12807" max="12807" width="5.3984375" style="1431" bestFit="1" customWidth="1"/>
    <col min="12808" max="12808" width="7" style="1431" customWidth="1"/>
    <col min="12809" max="12809" width="6.296875" style="1431" bestFit="1" customWidth="1"/>
    <col min="12810" max="12810" width="6.3984375" style="1431" customWidth="1"/>
    <col min="12811" max="12811" width="6.296875" style="1431" bestFit="1" customWidth="1"/>
    <col min="12812" max="13056" width="8.796875" style="1431"/>
    <col min="13057" max="13057" width="6.8984375" style="1431" customWidth="1"/>
    <col min="13058" max="13058" width="5.3984375" style="1431" bestFit="1" customWidth="1"/>
    <col min="13059" max="13060" width="6.3984375" style="1431" customWidth="1"/>
    <col min="13061" max="13061" width="9.09765625" style="1431" customWidth="1"/>
    <col min="13062" max="13062" width="6.69921875" style="1431" bestFit="1" customWidth="1"/>
    <col min="13063" max="13063" width="5.3984375" style="1431" bestFit="1" customWidth="1"/>
    <col min="13064" max="13064" width="7" style="1431" customWidth="1"/>
    <col min="13065" max="13065" width="6.296875" style="1431" bestFit="1" customWidth="1"/>
    <col min="13066" max="13066" width="6.3984375" style="1431" customWidth="1"/>
    <col min="13067" max="13067" width="6.296875" style="1431" bestFit="1" customWidth="1"/>
    <col min="13068" max="13312" width="8.796875" style="1431"/>
    <col min="13313" max="13313" width="6.8984375" style="1431" customWidth="1"/>
    <col min="13314" max="13314" width="5.3984375" style="1431" bestFit="1" customWidth="1"/>
    <col min="13315" max="13316" width="6.3984375" style="1431" customWidth="1"/>
    <col min="13317" max="13317" width="9.09765625" style="1431" customWidth="1"/>
    <col min="13318" max="13318" width="6.69921875" style="1431" bestFit="1" customWidth="1"/>
    <col min="13319" max="13319" width="5.3984375" style="1431" bestFit="1" customWidth="1"/>
    <col min="13320" max="13320" width="7" style="1431" customWidth="1"/>
    <col min="13321" max="13321" width="6.296875" style="1431" bestFit="1" customWidth="1"/>
    <col min="13322" max="13322" width="6.3984375" style="1431" customWidth="1"/>
    <col min="13323" max="13323" width="6.296875" style="1431" bestFit="1" customWidth="1"/>
    <col min="13324" max="13568" width="8.796875" style="1431"/>
    <col min="13569" max="13569" width="6.8984375" style="1431" customWidth="1"/>
    <col min="13570" max="13570" width="5.3984375" style="1431" bestFit="1" customWidth="1"/>
    <col min="13571" max="13572" width="6.3984375" style="1431" customWidth="1"/>
    <col min="13573" max="13573" width="9.09765625" style="1431" customWidth="1"/>
    <col min="13574" max="13574" width="6.69921875" style="1431" bestFit="1" customWidth="1"/>
    <col min="13575" max="13575" width="5.3984375" style="1431" bestFit="1" customWidth="1"/>
    <col min="13576" max="13576" width="7" style="1431" customWidth="1"/>
    <col min="13577" max="13577" width="6.296875" style="1431" bestFit="1" customWidth="1"/>
    <col min="13578" max="13578" width="6.3984375" style="1431" customWidth="1"/>
    <col min="13579" max="13579" width="6.296875" style="1431" bestFit="1" customWidth="1"/>
    <col min="13580" max="13824" width="8.796875" style="1431"/>
    <col min="13825" max="13825" width="6.8984375" style="1431" customWidth="1"/>
    <col min="13826" max="13826" width="5.3984375" style="1431" bestFit="1" customWidth="1"/>
    <col min="13827" max="13828" width="6.3984375" style="1431" customWidth="1"/>
    <col min="13829" max="13829" width="9.09765625" style="1431" customWidth="1"/>
    <col min="13830" max="13830" width="6.69921875" style="1431" bestFit="1" customWidth="1"/>
    <col min="13831" max="13831" width="5.3984375" style="1431" bestFit="1" customWidth="1"/>
    <col min="13832" max="13832" width="7" style="1431" customWidth="1"/>
    <col min="13833" max="13833" width="6.296875" style="1431" bestFit="1" customWidth="1"/>
    <col min="13834" max="13834" width="6.3984375" style="1431" customWidth="1"/>
    <col min="13835" max="13835" width="6.296875" style="1431" bestFit="1" customWidth="1"/>
    <col min="13836" max="14080" width="8.796875" style="1431"/>
    <col min="14081" max="14081" width="6.8984375" style="1431" customWidth="1"/>
    <col min="14082" max="14082" width="5.3984375" style="1431" bestFit="1" customWidth="1"/>
    <col min="14083" max="14084" width="6.3984375" style="1431" customWidth="1"/>
    <col min="14085" max="14085" width="9.09765625" style="1431" customWidth="1"/>
    <col min="14086" max="14086" width="6.69921875" style="1431" bestFit="1" customWidth="1"/>
    <col min="14087" max="14087" width="5.3984375" style="1431" bestFit="1" customWidth="1"/>
    <col min="14088" max="14088" width="7" style="1431" customWidth="1"/>
    <col min="14089" max="14089" width="6.296875" style="1431" bestFit="1" customWidth="1"/>
    <col min="14090" max="14090" width="6.3984375" style="1431" customWidth="1"/>
    <col min="14091" max="14091" width="6.296875" style="1431" bestFit="1" customWidth="1"/>
    <col min="14092" max="14336" width="8.796875" style="1431"/>
    <col min="14337" max="14337" width="6.8984375" style="1431" customWidth="1"/>
    <col min="14338" max="14338" width="5.3984375" style="1431" bestFit="1" customWidth="1"/>
    <col min="14339" max="14340" width="6.3984375" style="1431" customWidth="1"/>
    <col min="14341" max="14341" width="9.09765625" style="1431" customWidth="1"/>
    <col min="14342" max="14342" width="6.69921875" style="1431" bestFit="1" customWidth="1"/>
    <col min="14343" max="14343" width="5.3984375" style="1431" bestFit="1" customWidth="1"/>
    <col min="14344" max="14344" width="7" style="1431" customWidth="1"/>
    <col min="14345" max="14345" width="6.296875" style="1431" bestFit="1" customWidth="1"/>
    <col min="14346" max="14346" width="6.3984375" style="1431" customWidth="1"/>
    <col min="14347" max="14347" width="6.296875" style="1431" bestFit="1" customWidth="1"/>
    <col min="14348" max="14592" width="8.796875" style="1431"/>
    <col min="14593" max="14593" width="6.8984375" style="1431" customWidth="1"/>
    <col min="14594" max="14594" width="5.3984375" style="1431" bestFit="1" customWidth="1"/>
    <col min="14595" max="14596" width="6.3984375" style="1431" customWidth="1"/>
    <col min="14597" max="14597" width="9.09765625" style="1431" customWidth="1"/>
    <col min="14598" max="14598" width="6.69921875" style="1431" bestFit="1" customWidth="1"/>
    <col min="14599" max="14599" width="5.3984375" style="1431" bestFit="1" customWidth="1"/>
    <col min="14600" max="14600" width="7" style="1431" customWidth="1"/>
    <col min="14601" max="14601" width="6.296875" style="1431" bestFit="1" customWidth="1"/>
    <col min="14602" max="14602" width="6.3984375" style="1431" customWidth="1"/>
    <col min="14603" max="14603" width="6.296875" style="1431" bestFit="1" customWidth="1"/>
    <col min="14604" max="14848" width="8.796875" style="1431"/>
    <col min="14849" max="14849" width="6.8984375" style="1431" customWidth="1"/>
    <col min="14850" max="14850" width="5.3984375" style="1431" bestFit="1" customWidth="1"/>
    <col min="14851" max="14852" width="6.3984375" style="1431" customWidth="1"/>
    <col min="14853" max="14853" width="9.09765625" style="1431" customWidth="1"/>
    <col min="14854" max="14854" width="6.69921875" style="1431" bestFit="1" customWidth="1"/>
    <col min="14855" max="14855" width="5.3984375" style="1431" bestFit="1" customWidth="1"/>
    <col min="14856" max="14856" width="7" style="1431" customWidth="1"/>
    <col min="14857" max="14857" width="6.296875" style="1431" bestFit="1" customWidth="1"/>
    <col min="14858" max="14858" width="6.3984375" style="1431" customWidth="1"/>
    <col min="14859" max="14859" width="6.296875" style="1431" bestFit="1" customWidth="1"/>
    <col min="14860" max="15104" width="8.796875" style="1431"/>
    <col min="15105" max="15105" width="6.8984375" style="1431" customWidth="1"/>
    <col min="15106" max="15106" width="5.3984375" style="1431" bestFit="1" customWidth="1"/>
    <col min="15107" max="15108" width="6.3984375" style="1431" customWidth="1"/>
    <col min="15109" max="15109" width="9.09765625" style="1431" customWidth="1"/>
    <col min="15110" max="15110" width="6.69921875" style="1431" bestFit="1" customWidth="1"/>
    <col min="15111" max="15111" width="5.3984375" style="1431" bestFit="1" customWidth="1"/>
    <col min="15112" max="15112" width="7" style="1431" customWidth="1"/>
    <col min="15113" max="15113" width="6.296875" style="1431" bestFit="1" customWidth="1"/>
    <col min="15114" max="15114" width="6.3984375" style="1431" customWidth="1"/>
    <col min="15115" max="15115" width="6.296875" style="1431" bestFit="1" customWidth="1"/>
    <col min="15116" max="15360" width="8.796875" style="1431"/>
    <col min="15361" max="15361" width="6.8984375" style="1431" customWidth="1"/>
    <col min="15362" max="15362" width="5.3984375" style="1431" bestFit="1" customWidth="1"/>
    <col min="15363" max="15364" width="6.3984375" style="1431" customWidth="1"/>
    <col min="15365" max="15365" width="9.09765625" style="1431" customWidth="1"/>
    <col min="15366" max="15366" width="6.69921875" style="1431" bestFit="1" customWidth="1"/>
    <col min="15367" max="15367" width="5.3984375" style="1431" bestFit="1" customWidth="1"/>
    <col min="15368" max="15368" width="7" style="1431" customWidth="1"/>
    <col min="15369" max="15369" width="6.296875" style="1431" bestFit="1" customWidth="1"/>
    <col min="15370" max="15370" width="6.3984375" style="1431" customWidth="1"/>
    <col min="15371" max="15371" width="6.296875" style="1431" bestFit="1" customWidth="1"/>
    <col min="15372" max="15616" width="8.796875" style="1431"/>
    <col min="15617" max="15617" width="6.8984375" style="1431" customWidth="1"/>
    <col min="15618" max="15618" width="5.3984375" style="1431" bestFit="1" customWidth="1"/>
    <col min="15619" max="15620" width="6.3984375" style="1431" customWidth="1"/>
    <col min="15621" max="15621" width="9.09765625" style="1431" customWidth="1"/>
    <col min="15622" max="15622" width="6.69921875" style="1431" bestFit="1" customWidth="1"/>
    <col min="15623" max="15623" width="5.3984375" style="1431" bestFit="1" customWidth="1"/>
    <col min="15624" max="15624" width="7" style="1431" customWidth="1"/>
    <col min="15625" max="15625" width="6.296875" style="1431" bestFit="1" customWidth="1"/>
    <col min="15626" max="15626" width="6.3984375" style="1431" customWidth="1"/>
    <col min="15627" max="15627" width="6.296875" style="1431" bestFit="1" customWidth="1"/>
    <col min="15628" max="15872" width="8.796875" style="1431"/>
    <col min="15873" max="15873" width="6.8984375" style="1431" customWidth="1"/>
    <col min="15874" max="15874" width="5.3984375" style="1431" bestFit="1" customWidth="1"/>
    <col min="15875" max="15876" width="6.3984375" style="1431" customWidth="1"/>
    <col min="15877" max="15877" width="9.09765625" style="1431" customWidth="1"/>
    <col min="15878" max="15878" width="6.69921875" style="1431" bestFit="1" customWidth="1"/>
    <col min="15879" max="15879" width="5.3984375" style="1431" bestFit="1" customWidth="1"/>
    <col min="15880" max="15880" width="7" style="1431" customWidth="1"/>
    <col min="15881" max="15881" width="6.296875" style="1431" bestFit="1" customWidth="1"/>
    <col min="15882" max="15882" width="6.3984375" style="1431" customWidth="1"/>
    <col min="15883" max="15883" width="6.296875" style="1431" bestFit="1" customWidth="1"/>
    <col min="15884" max="16128" width="8.796875" style="1431"/>
    <col min="16129" max="16129" width="6.8984375" style="1431" customWidth="1"/>
    <col min="16130" max="16130" width="5.3984375" style="1431" bestFit="1" customWidth="1"/>
    <col min="16131" max="16132" width="6.3984375" style="1431" customWidth="1"/>
    <col min="16133" max="16133" width="9.09765625" style="1431" customWidth="1"/>
    <col min="16134" max="16134" width="6.69921875" style="1431" bestFit="1" customWidth="1"/>
    <col min="16135" max="16135" width="5.3984375" style="1431" bestFit="1" customWidth="1"/>
    <col min="16136" max="16136" width="7" style="1431" customWidth="1"/>
    <col min="16137" max="16137" width="6.296875" style="1431" bestFit="1" customWidth="1"/>
    <col min="16138" max="16138" width="6.3984375" style="1431" customWidth="1"/>
    <col min="16139" max="16139" width="6.296875" style="1431" bestFit="1" customWidth="1"/>
    <col min="16140" max="16384" width="8.796875" style="1431"/>
  </cols>
  <sheetData>
    <row r="1" spans="1:11" ht="30" customHeight="1">
      <c r="A1" s="1481" t="s">
        <v>2827</v>
      </c>
      <c r="B1" s="1481"/>
      <c r="C1" s="1481"/>
      <c r="D1" s="1481"/>
      <c r="E1" s="1481"/>
      <c r="F1" s="1481"/>
      <c r="G1" s="1481"/>
      <c r="H1" s="1481"/>
      <c r="J1" s="2498"/>
      <c r="K1" s="2498"/>
    </row>
    <row r="2" spans="1:11" ht="16.8" thickBot="1">
      <c r="A2" s="1481"/>
      <c r="B2" s="1481"/>
      <c r="C2" s="1481"/>
      <c r="D2" s="1481"/>
      <c r="E2" s="1481"/>
      <c r="F2" s="1481"/>
      <c r="G2" s="1481"/>
      <c r="H2" s="1481"/>
      <c r="J2" s="1482"/>
      <c r="K2" s="1482" t="s">
        <v>2811</v>
      </c>
    </row>
    <row r="3" spans="1:11" s="1236" customFormat="1" ht="16.8" customHeight="1">
      <c r="A3" s="2499" t="s">
        <v>2812</v>
      </c>
      <c r="B3" s="2503" t="s">
        <v>2780</v>
      </c>
      <c r="C3" s="2390" t="s">
        <v>2813</v>
      </c>
      <c r="D3" s="2393"/>
      <c r="E3" s="2390" t="s">
        <v>2814</v>
      </c>
      <c r="F3" s="2393"/>
      <c r="G3" s="2390" t="s">
        <v>2815</v>
      </c>
      <c r="H3" s="2395"/>
      <c r="I3" s="2393"/>
      <c r="J3" s="2390" t="s">
        <v>2816</v>
      </c>
      <c r="K3" s="2395"/>
    </row>
    <row r="4" spans="1:11" s="1236" customFormat="1" ht="16.8" customHeight="1">
      <c r="A4" s="2431"/>
      <c r="B4" s="2441"/>
      <c r="C4" s="1272" t="s">
        <v>282</v>
      </c>
      <c r="D4" s="1272" t="s">
        <v>1626</v>
      </c>
      <c r="E4" s="1272" t="s">
        <v>262</v>
      </c>
      <c r="F4" s="1483" t="s">
        <v>1626</v>
      </c>
      <c r="G4" s="1272" t="s">
        <v>2817</v>
      </c>
      <c r="H4" s="1272" t="s">
        <v>2818</v>
      </c>
      <c r="I4" s="1483" t="s">
        <v>1626</v>
      </c>
      <c r="J4" s="1272" t="s">
        <v>2818</v>
      </c>
      <c r="K4" s="1484" t="s">
        <v>2819</v>
      </c>
    </row>
    <row r="5" spans="1:11" s="1236" customFormat="1" ht="10.8" hidden="1" outlineLevel="1">
      <c r="A5" s="1471"/>
      <c r="B5" s="1241"/>
      <c r="C5" s="1275" t="s">
        <v>167</v>
      </c>
      <c r="D5" s="1275" t="s">
        <v>281</v>
      </c>
      <c r="E5" s="1275" t="s">
        <v>2820</v>
      </c>
      <c r="F5" s="1472" t="s">
        <v>1026</v>
      </c>
      <c r="G5" s="1275" t="s">
        <v>167</v>
      </c>
      <c r="H5" s="1275" t="s">
        <v>2820</v>
      </c>
      <c r="I5" s="1472" t="s">
        <v>1026</v>
      </c>
      <c r="J5" s="1275" t="s">
        <v>2820</v>
      </c>
      <c r="K5" s="1473" t="s">
        <v>1026</v>
      </c>
    </row>
    <row r="6" spans="1:11" s="1236" customFormat="1" ht="17.399999999999999" hidden="1" customHeight="1" outlineLevel="1">
      <c r="A6" s="1485" t="s">
        <v>2821</v>
      </c>
      <c r="B6" s="1220">
        <v>48</v>
      </c>
      <c r="C6" s="1220">
        <v>2107</v>
      </c>
      <c r="D6" s="1480">
        <f>+C6/2096*100</f>
        <v>100.52480916030535</v>
      </c>
      <c r="E6" s="1220">
        <v>6849346</v>
      </c>
      <c r="F6" s="1486">
        <f>+E6/9607356*100</f>
        <v>71.292726115280828</v>
      </c>
      <c r="G6" s="1487">
        <v>43.895833333333336</v>
      </c>
      <c r="H6" s="1220">
        <v>142694.70833333334</v>
      </c>
      <c r="I6" s="1486">
        <f>+H6/196068*100</f>
        <v>72.77817304880621</v>
      </c>
      <c r="J6" s="1220">
        <v>3250.7574750830563</v>
      </c>
      <c r="K6" s="1488">
        <f>+J6/4099*100</f>
        <v>79.306110638766924</v>
      </c>
    </row>
    <row r="7" spans="1:11" s="1236" customFormat="1" ht="17.399999999999999" hidden="1" customHeight="1" outlineLevel="1">
      <c r="A7" s="1485">
        <v>26</v>
      </c>
      <c r="B7" s="1220">
        <v>48</v>
      </c>
      <c r="C7" s="1220">
        <v>2124</v>
      </c>
      <c r="D7" s="1480">
        <f t="shared" ref="D7:D16" si="0">+C7/C6*100</f>
        <v>100.80683436165162</v>
      </c>
      <c r="E7" s="1220">
        <v>7779298</v>
      </c>
      <c r="F7" s="1486">
        <f>+E7/E6*100</f>
        <v>113.57723788519371</v>
      </c>
      <c r="G7" s="1487">
        <v>44.25</v>
      </c>
      <c r="H7" s="1220">
        <v>162068.70833333334</v>
      </c>
      <c r="I7" s="1486">
        <f>+H7/H6*100</f>
        <v>113.57723788519371</v>
      </c>
      <c r="J7" s="1220">
        <v>3662.5696798493409</v>
      </c>
      <c r="K7" s="1488">
        <f>+J7/4099*100</f>
        <v>89.352761157583345</v>
      </c>
    </row>
    <row r="8" spans="1:11" s="1236" customFormat="1" ht="17.399999999999999" hidden="1" customHeight="1" outlineLevel="1">
      <c r="A8" s="1485" t="s">
        <v>319</v>
      </c>
      <c r="B8" s="1220">
        <v>56</v>
      </c>
      <c r="C8" s="1220">
        <v>2278</v>
      </c>
      <c r="D8" s="1480">
        <f>+C8/C7*100</f>
        <v>107.25047080979284</v>
      </c>
      <c r="E8" s="1220">
        <v>7393688</v>
      </c>
      <c r="F8" s="1486">
        <f t="shared" ref="F8:F16" si="1">E8/E7*100</f>
        <v>95.043125999286829</v>
      </c>
      <c r="G8" s="1487">
        <f>C8/B8</f>
        <v>40.678571428571431</v>
      </c>
      <c r="H8" s="1220">
        <f>E8/B8</f>
        <v>132030.14285714287</v>
      </c>
      <c r="I8" s="1486">
        <f t="shared" ref="I8:I16" si="2">H8/H7*100</f>
        <v>81.465536570817278</v>
      </c>
      <c r="J8" s="1220">
        <f>E8/C8</f>
        <v>3245.6927129060577</v>
      </c>
      <c r="K8" s="1488">
        <f t="shared" ref="K8:K16" si="3">J8/J7*100</f>
        <v>88.617910282039162</v>
      </c>
    </row>
    <row r="9" spans="1:11" s="1236" customFormat="1" ht="17.399999999999999" hidden="1" customHeight="1" outlineLevel="1">
      <c r="A9" s="1485" t="s">
        <v>2822</v>
      </c>
      <c r="B9" s="1220">
        <v>56</v>
      </c>
      <c r="C9" s="1220">
        <v>2089</v>
      </c>
      <c r="D9" s="1480">
        <f t="shared" si="0"/>
        <v>91.703248463564535</v>
      </c>
      <c r="E9" s="1220">
        <v>6962780</v>
      </c>
      <c r="F9" s="1489">
        <f t="shared" si="1"/>
        <v>94.171947747862774</v>
      </c>
      <c r="G9" s="1487">
        <f>C9/B9</f>
        <v>37.303571428571431</v>
      </c>
      <c r="H9" s="1220">
        <f>E9/B9</f>
        <v>124335.35714285714</v>
      </c>
      <c r="I9" s="1489">
        <f t="shared" si="2"/>
        <v>94.17194774786276</v>
      </c>
      <c r="J9" s="1220">
        <f>E9/C9</f>
        <v>3333.0684538056485</v>
      </c>
      <c r="K9" s="1490">
        <f t="shared" si="3"/>
        <v>102.69205216353825</v>
      </c>
    </row>
    <row r="10" spans="1:11" s="1236" customFormat="1" ht="17.399999999999999" hidden="1" customHeight="1" outlineLevel="1" collapsed="1">
      <c r="A10" s="1485" t="s">
        <v>2823</v>
      </c>
      <c r="B10" s="1220">
        <v>43</v>
      </c>
      <c r="C10" s="1220">
        <v>2130</v>
      </c>
      <c r="D10" s="1480">
        <f t="shared" si="0"/>
        <v>101.96266156055529</v>
      </c>
      <c r="E10" s="1220">
        <v>7511455</v>
      </c>
      <c r="F10" s="1489">
        <f t="shared" si="1"/>
        <v>107.88011397746303</v>
      </c>
      <c r="G10" s="1487">
        <f>C10/B10</f>
        <v>49.534883720930232</v>
      </c>
      <c r="H10" s="1220">
        <f>E10/B10</f>
        <v>174685</v>
      </c>
      <c r="I10" s="1489">
        <f t="shared" si="2"/>
        <v>140.49503215669603</v>
      </c>
      <c r="J10" s="1220">
        <f>E10/C10</f>
        <v>3526.5046948356808</v>
      </c>
      <c r="K10" s="1490">
        <f t="shared" si="3"/>
        <v>105.80354840324895</v>
      </c>
    </row>
    <row r="11" spans="1:11" s="1236" customFormat="1" ht="10.8" hidden="1" outlineLevel="1" collapsed="1">
      <c r="A11" s="1485" t="s">
        <v>2824</v>
      </c>
      <c r="B11" s="1220">
        <v>43</v>
      </c>
      <c r="C11" s="1220">
        <v>2134</v>
      </c>
      <c r="D11" s="1480">
        <f t="shared" si="0"/>
        <v>100.18779342723005</v>
      </c>
      <c r="E11" s="1220">
        <v>10947335</v>
      </c>
      <c r="F11" s="1489">
        <f t="shared" si="1"/>
        <v>145.74187025017125</v>
      </c>
      <c r="G11" s="1487">
        <f>C11/B11</f>
        <v>49.627906976744185</v>
      </c>
      <c r="H11" s="1220">
        <f>E11/B11</f>
        <v>254589.18604651163</v>
      </c>
      <c r="I11" s="1489">
        <f t="shared" si="2"/>
        <v>145.74187025017125</v>
      </c>
      <c r="J11" s="1220">
        <f>E11/C11</f>
        <v>5129.9601686972819</v>
      </c>
      <c r="K11" s="1490">
        <f t="shared" si="3"/>
        <v>145.46868961240148</v>
      </c>
    </row>
    <row r="12" spans="1:11" s="1236" customFormat="1" ht="19.8" customHeight="1" collapsed="1">
      <c r="A12" s="1485" t="s">
        <v>79</v>
      </c>
      <c r="B12" s="1220">
        <v>41</v>
      </c>
      <c r="C12" s="1220">
        <v>2110</v>
      </c>
      <c r="D12" s="1480">
        <f t="shared" si="0"/>
        <v>98.87535145267104</v>
      </c>
      <c r="E12" s="1220">
        <v>10559158</v>
      </c>
      <c r="F12" s="1489">
        <f t="shared" si="1"/>
        <v>96.454141578749528</v>
      </c>
      <c r="G12" s="1487">
        <f>C12/B12</f>
        <v>51.463414634146339</v>
      </c>
      <c r="H12" s="1220">
        <f>E12/B12</f>
        <v>257540.43902439025</v>
      </c>
      <c r="I12" s="1489">
        <f t="shared" si="2"/>
        <v>101.1592216557617</v>
      </c>
      <c r="J12" s="1220">
        <f>E12/C12</f>
        <v>5004.3402843601898</v>
      </c>
      <c r="K12" s="1490">
        <f t="shared" si="3"/>
        <v>97.551250298128679</v>
      </c>
    </row>
    <row r="13" spans="1:11" s="1236" customFormat="1" ht="19.8" customHeight="1">
      <c r="A13" s="1485">
        <v>2</v>
      </c>
      <c r="B13" s="1220">
        <v>40</v>
      </c>
      <c r="C13" s="1220">
        <v>2110</v>
      </c>
      <c r="D13" s="1480">
        <f t="shared" si="0"/>
        <v>100</v>
      </c>
      <c r="E13" s="1220">
        <v>10075100</v>
      </c>
      <c r="F13" s="1489">
        <f t="shared" si="1"/>
        <v>95.415751899914753</v>
      </c>
      <c r="G13" s="1487">
        <f t="shared" ref="G13:G16" si="4">C13/B13</f>
        <v>52.75</v>
      </c>
      <c r="H13" s="1220">
        <f t="shared" ref="H13:H16" si="5">E13/B13</f>
        <v>251877.5</v>
      </c>
      <c r="I13" s="1489">
        <f t="shared" si="2"/>
        <v>97.801145697412622</v>
      </c>
      <c r="J13" s="1220">
        <f t="shared" ref="J13:J16" si="6">E13/C13</f>
        <v>4774.9289099526068</v>
      </c>
      <c r="K13" s="1490">
        <f t="shared" si="3"/>
        <v>95.415751899914753</v>
      </c>
    </row>
    <row r="14" spans="1:11" s="1236" customFormat="1" ht="19.8" customHeight="1">
      <c r="A14" s="1485">
        <v>3</v>
      </c>
      <c r="B14" s="1220">
        <v>40</v>
      </c>
      <c r="C14" s="1220">
        <v>2220</v>
      </c>
      <c r="D14" s="1480">
        <f t="shared" si="0"/>
        <v>105.21327014218009</v>
      </c>
      <c r="E14" s="1220">
        <v>9981811</v>
      </c>
      <c r="F14" s="1489">
        <f t="shared" si="1"/>
        <v>99.074063781004654</v>
      </c>
      <c r="G14" s="1487">
        <f t="shared" si="4"/>
        <v>55.5</v>
      </c>
      <c r="H14" s="1220">
        <f t="shared" si="5"/>
        <v>249545.27499999999</v>
      </c>
      <c r="I14" s="1489">
        <f t="shared" si="2"/>
        <v>99.074063781004654</v>
      </c>
      <c r="J14" s="1220">
        <f t="shared" si="6"/>
        <v>4496.3112612612613</v>
      </c>
      <c r="K14" s="1490">
        <f t="shared" si="3"/>
        <v>94.164988548612527</v>
      </c>
    </row>
    <row r="15" spans="1:11" s="1236" customFormat="1" ht="19.8" customHeight="1">
      <c r="A15" s="1485">
        <v>4</v>
      </c>
      <c r="B15" s="1220">
        <v>51</v>
      </c>
      <c r="C15" s="1220">
        <v>2427</v>
      </c>
      <c r="D15" s="1480">
        <f t="shared" si="0"/>
        <v>109.32432432432432</v>
      </c>
      <c r="E15" s="1220">
        <v>9800265</v>
      </c>
      <c r="F15" s="1489">
        <f t="shared" si="1"/>
        <v>98.181231842598507</v>
      </c>
      <c r="G15" s="1487">
        <f t="shared" si="4"/>
        <v>47.588235294117645</v>
      </c>
      <c r="H15" s="1220">
        <f t="shared" si="5"/>
        <v>192162.0588235294</v>
      </c>
      <c r="I15" s="1489">
        <f t="shared" si="2"/>
        <v>77.004887719685101</v>
      </c>
      <c r="J15" s="1220">
        <f t="shared" si="6"/>
        <v>4038.0160692212608</v>
      </c>
      <c r="K15" s="1490">
        <f t="shared" si="3"/>
        <v>89.807307247865126</v>
      </c>
    </row>
    <row r="16" spans="1:11" s="1236" customFormat="1" ht="19.8" customHeight="1" thickBot="1">
      <c r="A16" s="1485">
        <v>5</v>
      </c>
      <c r="B16" s="1220">
        <v>52</v>
      </c>
      <c r="C16" s="1220">
        <v>2426</v>
      </c>
      <c r="D16" s="1480">
        <f t="shared" si="0"/>
        <v>99.958796868562004</v>
      </c>
      <c r="E16" s="1220">
        <v>11444350</v>
      </c>
      <c r="F16" s="1489">
        <f t="shared" si="1"/>
        <v>116.77592391634309</v>
      </c>
      <c r="G16" s="1487">
        <f t="shared" si="4"/>
        <v>46.653846153846153</v>
      </c>
      <c r="H16" s="1220">
        <f t="shared" si="5"/>
        <v>220083.65384615384</v>
      </c>
      <c r="I16" s="1489">
        <f t="shared" si="2"/>
        <v>114.53023307179802</v>
      </c>
      <c r="J16" s="1220">
        <f t="shared" si="6"/>
        <v>4717.3742786479806</v>
      </c>
      <c r="K16" s="1490">
        <f t="shared" si="3"/>
        <v>116.82405908695988</v>
      </c>
    </row>
    <row r="17" spans="1:11" s="1236" customFormat="1" ht="16.2" customHeight="1">
      <c r="A17" s="1479" t="s">
        <v>2825</v>
      </c>
      <c r="B17" s="1479"/>
      <c r="C17" s="1479"/>
      <c r="D17" s="1479"/>
      <c r="E17" s="1479"/>
      <c r="F17" s="1479"/>
      <c r="G17" s="1479"/>
      <c r="H17" s="1479"/>
      <c r="I17" s="1479"/>
      <c r="J17" s="1479"/>
      <c r="K17" s="1479"/>
    </row>
    <row r="18" spans="1:11" ht="16.2" customHeight="1">
      <c r="A18" s="1236" t="s">
        <v>2826</v>
      </c>
      <c r="B18" s="1491"/>
      <c r="C18" s="1491"/>
      <c r="D18" s="1491"/>
      <c r="E18" s="1491"/>
      <c r="F18" s="1491"/>
      <c r="G18" s="1491"/>
      <c r="H18" s="1491"/>
      <c r="I18" s="1491"/>
      <c r="J18" s="1491"/>
      <c r="K18" s="1491"/>
    </row>
    <row r="19" spans="1:11">
      <c r="A19" s="1236"/>
      <c r="B19" s="1491"/>
      <c r="C19" s="1491"/>
      <c r="D19" s="1491"/>
      <c r="E19" s="1491"/>
      <c r="F19" s="1491"/>
      <c r="G19" s="1491"/>
      <c r="H19" s="1491"/>
      <c r="I19" s="1491"/>
      <c r="J19" s="1491"/>
      <c r="K19" s="1491"/>
    </row>
    <row r="20" spans="1:11">
      <c r="A20" s="1236"/>
    </row>
    <row r="25" spans="1:11">
      <c r="F25" s="1492"/>
    </row>
  </sheetData>
  <mergeCells count="7">
    <mergeCell ref="J1:K1"/>
    <mergeCell ref="A3:A4"/>
    <mergeCell ref="B3:B4"/>
    <mergeCell ref="C3:D3"/>
    <mergeCell ref="E3:F3"/>
    <mergeCell ref="G3:I3"/>
    <mergeCell ref="J3:K3"/>
  </mergeCells>
  <phoneticPr fontId="4"/>
  <pageMargins left="0.7" right="0.7" top="0.75" bottom="0.75" header="0.3" footer="0.3"/>
  <pageSetup paperSize="9" scale="7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44A63-1CC1-4594-A22C-492ABD39C62E}">
  <sheetPr codeName="Sheet109"/>
  <dimension ref="A1:J27"/>
  <sheetViews>
    <sheetView workbookViewId="0"/>
  </sheetViews>
  <sheetFormatPr defaultRowHeight="13.2"/>
  <cols>
    <col min="1" max="1" width="8.296875" style="1431" customWidth="1"/>
    <col min="2" max="2" width="8.796875" style="1431"/>
    <col min="3" max="6" width="8.69921875" style="1431" customWidth="1"/>
    <col min="7" max="7" width="9.3984375" style="1431" bestFit="1" customWidth="1"/>
    <col min="8" max="9" width="8.69921875" style="1431" customWidth="1"/>
    <col min="10" max="10" width="11.69921875" style="1431" bestFit="1" customWidth="1"/>
    <col min="11" max="256" width="8.796875" style="1431"/>
    <col min="257" max="257" width="8.296875" style="1431" customWidth="1"/>
    <col min="258" max="258" width="8.796875" style="1431"/>
    <col min="259" max="262" width="8.69921875" style="1431" customWidth="1"/>
    <col min="263" max="263" width="9.3984375" style="1431" bestFit="1" customWidth="1"/>
    <col min="264" max="265" width="8.69921875" style="1431" customWidth="1"/>
    <col min="266" max="266" width="11.69921875" style="1431" bestFit="1" customWidth="1"/>
    <col min="267" max="512" width="8.796875" style="1431"/>
    <col min="513" max="513" width="8.296875" style="1431" customWidth="1"/>
    <col min="514" max="514" width="8.796875" style="1431"/>
    <col min="515" max="518" width="8.69921875" style="1431" customWidth="1"/>
    <col min="519" max="519" width="9.3984375" style="1431" bestFit="1" customWidth="1"/>
    <col min="520" max="521" width="8.69921875" style="1431" customWidth="1"/>
    <col min="522" max="522" width="11.69921875" style="1431" bestFit="1" customWidth="1"/>
    <col min="523" max="768" width="8.796875" style="1431"/>
    <col min="769" max="769" width="8.296875" style="1431" customWidth="1"/>
    <col min="770" max="770" width="8.796875" style="1431"/>
    <col min="771" max="774" width="8.69921875" style="1431" customWidth="1"/>
    <col min="775" max="775" width="9.3984375" style="1431" bestFit="1" customWidth="1"/>
    <col min="776" max="777" width="8.69921875" style="1431" customWidth="1"/>
    <col min="778" max="778" width="11.69921875" style="1431" bestFit="1" customWidth="1"/>
    <col min="779" max="1024" width="8.796875" style="1431"/>
    <col min="1025" max="1025" width="8.296875" style="1431" customWidth="1"/>
    <col min="1026" max="1026" width="8.796875" style="1431"/>
    <col min="1027" max="1030" width="8.69921875" style="1431" customWidth="1"/>
    <col min="1031" max="1031" width="9.3984375" style="1431" bestFit="1" customWidth="1"/>
    <col min="1032" max="1033" width="8.69921875" style="1431" customWidth="1"/>
    <col min="1034" max="1034" width="11.69921875" style="1431" bestFit="1" customWidth="1"/>
    <col min="1035" max="1280" width="8.796875" style="1431"/>
    <col min="1281" max="1281" width="8.296875" style="1431" customWidth="1"/>
    <col min="1282" max="1282" width="8.796875" style="1431"/>
    <col min="1283" max="1286" width="8.69921875" style="1431" customWidth="1"/>
    <col min="1287" max="1287" width="9.3984375" style="1431" bestFit="1" customWidth="1"/>
    <col min="1288" max="1289" width="8.69921875" style="1431" customWidth="1"/>
    <col min="1290" max="1290" width="11.69921875" style="1431" bestFit="1" customWidth="1"/>
    <col min="1291" max="1536" width="8.796875" style="1431"/>
    <col min="1537" max="1537" width="8.296875" style="1431" customWidth="1"/>
    <col min="1538" max="1538" width="8.796875" style="1431"/>
    <col min="1539" max="1542" width="8.69921875" style="1431" customWidth="1"/>
    <col min="1543" max="1543" width="9.3984375" style="1431" bestFit="1" customWidth="1"/>
    <col min="1544" max="1545" width="8.69921875" style="1431" customWidth="1"/>
    <col min="1546" max="1546" width="11.69921875" style="1431" bestFit="1" customWidth="1"/>
    <col min="1547" max="1792" width="8.796875" style="1431"/>
    <col min="1793" max="1793" width="8.296875" style="1431" customWidth="1"/>
    <col min="1794" max="1794" width="8.796875" style="1431"/>
    <col min="1795" max="1798" width="8.69921875" style="1431" customWidth="1"/>
    <col min="1799" max="1799" width="9.3984375" style="1431" bestFit="1" customWidth="1"/>
    <col min="1800" max="1801" width="8.69921875" style="1431" customWidth="1"/>
    <col min="1802" max="1802" width="11.69921875" style="1431" bestFit="1" customWidth="1"/>
    <col min="1803" max="2048" width="8.796875" style="1431"/>
    <col min="2049" max="2049" width="8.296875" style="1431" customWidth="1"/>
    <col min="2050" max="2050" width="8.796875" style="1431"/>
    <col min="2051" max="2054" width="8.69921875" style="1431" customWidth="1"/>
    <col min="2055" max="2055" width="9.3984375" style="1431" bestFit="1" customWidth="1"/>
    <col min="2056" max="2057" width="8.69921875" style="1431" customWidth="1"/>
    <col min="2058" max="2058" width="11.69921875" style="1431" bestFit="1" customWidth="1"/>
    <col min="2059" max="2304" width="8.796875" style="1431"/>
    <col min="2305" max="2305" width="8.296875" style="1431" customWidth="1"/>
    <col min="2306" max="2306" width="8.796875" style="1431"/>
    <col min="2307" max="2310" width="8.69921875" style="1431" customWidth="1"/>
    <col min="2311" max="2311" width="9.3984375" style="1431" bestFit="1" customWidth="1"/>
    <col min="2312" max="2313" width="8.69921875" style="1431" customWidth="1"/>
    <col min="2314" max="2314" width="11.69921875" style="1431" bestFit="1" customWidth="1"/>
    <col min="2315" max="2560" width="8.796875" style="1431"/>
    <col min="2561" max="2561" width="8.296875" style="1431" customWidth="1"/>
    <col min="2562" max="2562" width="8.796875" style="1431"/>
    <col min="2563" max="2566" width="8.69921875" style="1431" customWidth="1"/>
    <col min="2567" max="2567" width="9.3984375" style="1431" bestFit="1" customWidth="1"/>
    <col min="2568" max="2569" width="8.69921875" style="1431" customWidth="1"/>
    <col min="2570" max="2570" width="11.69921875" style="1431" bestFit="1" customWidth="1"/>
    <col min="2571" max="2816" width="8.796875" style="1431"/>
    <col min="2817" max="2817" width="8.296875" style="1431" customWidth="1"/>
    <col min="2818" max="2818" width="8.796875" style="1431"/>
    <col min="2819" max="2822" width="8.69921875" style="1431" customWidth="1"/>
    <col min="2823" max="2823" width="9.3984375" style="1431" bestFit="1" customWidth="1"/>
    <col min="2824" max="2825" width="8.69921875" style="1431" customWidth="1"/>
    <col min="2826" max="2826" width="11.69921875" style="1431" bestFit="1" customWidth="1"/>
    <col min="2827" max="3072" width="8.796875" style="1431"/>
    <col min="3073" max="3073" width="8.296875" style="1431" customWidth="1"/>
    <col min="3074" max="3074" width="8.796875" style="1431"/>
    <col min="3075" max="3078" width="8.69921875" style="1431" customWidth="1"/>
    <col min="3079" max="3079" width="9.3984375" style="1431" bestFit="1" customWidth="1"/>
    <col min="3080" max="3081" width="8.69921875" style="1431" customWidth="1"/>
    <col min="3082" max="3082" width="11.69921875" style="1431" bestFit="1" customWidth="1"/>
    <col min="3083" max="3328" width="8.796875" style="1431"/>
    <col min="3329" max="3329" width="8.296875" style="1431" customWidth="1"/>
    <col min="3330" max="3330" width="8.796875" style="1431"/>
    <col min="3331" max="3334" width="8.69921875" style="1431" customWidth="1"/>
    <col min="3335" max="3335" width="9.3984375" style="1431" bestFit="1" customWidth="1"/>
    <col min="3336" max="3337" width="8.69921875" style="1431" customWidth="1"/>
    <col min="3338" max="3338" width="11.69921875" style="1431" bestFit="1" customWidth="1"/>
    <col min="3339" max="3584" width="8.796875" style="1431"/>
    <col min="3585" max="3585" width="8.296875" style="1431" customWidth="1"/>
    <col min="3586" max="3586" width="8.796875" style="1431"/>
    <col min="3587" max="3590" width="8.69921875" style="1431" customWidth="1"/>
    <col min="3591" max="3591" width="9.3984375" style="1431" bestFit="1" customWidth="1"/>
    <col min="3592" max="3593" width="8.69921875" style="1431" customWidth="1"/>
    <col min="3594" max="3594" width="11.69921875" style="1431" bestFit="1" customWidth="1"/>
    <col min="3595" max="3840" width="8.796875" style="1431"/>
    <col min="3841" max="3841" width="8.296875" style="1431" customWidth="1"/>
    <col min="3842" max="3842" width="8.796875" style="1431"/>
    <col min="3843" max="3846" width="8.69921875" style="1431" customWidth="1"/>
    <col min="3847" max="3847" width="9.3984375" style="1431" bestFit="1" customWidth="1"/>
    <col min="3848" max="3849" width="8.69921875" style="1431" customWidth="1"/>
    <col min="3850" max="3850" width="11.69921875" style="1431" bestFit="1" customWidth="1"/>
    <col min="3851" max="4096" width="8.796875" style="1431"/>
    <col min="4097" max="4097" width="8.296875" style="1431" customWidth="1"/>
    <col min="4098" max="4098" width="8.796875" style="1431"/>
    <col min="4099" max="4102" width="8.69921875" style="1431" customWidth="1"/>
    <col min="4103" max="4103" width="9.3984375" style="1431" bestFit="1" customWidth="1"/>
    <col min="4104" max="4105" width="8.69921875" style="1431" customWidth="1"/>
    <col min="4106" max="4106" width="11.69921875" style="1431" bestFit="1" customWidth="1"/>
    <col min="4107" max="4352" width="8.796875" style="1431"/>
    <col min="4353" max="4353" width="8.296875" style="1431" customWidth="1"/>
    <col min="4354" max="4354" width="8.796875" style="1431"/>
    <col min="4355" max="4358" width="8.69921875" style="1431" customWidth="1"/>
    <col min="4359" max="4359" width="9.3984375" style="1431" bestFit="1" customWidth="1"/>
    <col min="4360" max="4361" width="8.69921875" style="1431" customWidth="1"/>
    <col min="4362" max="4362" width="11.69921875" style="1431" bestFit="1" customWidth="1"/>
    <col min="4363" max="4608" width="8.796875" style="1431"/>
    <col min="4609" max="4609" width="8.296875" style="1431" customWidth="1"/>
    <col min="4610" max="4610" width="8.796875" style="1431"/>
    <col min="4611" max="4614" width="8.69921875" style="1431" customWidth="1"/>
    <col min="4615" max="4615" width="9.3984375" style="1431" bestFit="1" customWidth="1"/>
    <col min="4616" max="4617" width="8.69921875" style="1431" customWidth="1"/>
    <col min="4618" max="4618" width="11.69921875" style="1431" bestFit="1" customWidth="1"/>
    <col min="4619" max="4864" width="8.796875" style="1431"/>
    <col min="4865" max="4865" width="8.296875" style="1431" customWidth="1"/>
    <col min="4866" max="4866" width="8.796875" style="1431"/>
    <col min="4867" max="4870" width="8.69921875" style="1431" customWidth="1"/>
    <col min="4871" max="4871" width="9.3984375" style="1431" bestFit="1" customWidth="1"/>
    <col min="4872" max="4873" width="8.69921875" style="1431" customWidth="1"/>
    <col min="4874" max="4874" width="11.69921875" style="1431" bestFit="1" customWidth="1"/>
    <col min="4875" max="5120" width="8.796875" style="1431"/>
    <col min="5121" max="5121" width="8.296875" style="1431" customWidth="1"/>
    <col min="5122" max="5122" width="8.796875" style="1431"/>
    <col min="5123" max="5126" width="8.69921875" style="1431" customWidth="1"/>
    <col min="5127" max="5127" width="9.3984375" style="1431" bestFit="1" customWidth="1"/>
    <col min="5128" max="5129" width="8.69921875" style="1431" customWidth="1"/>
    <col min="5130" max="5130" width="11.69921875" style="1431" bestFit="1" customWidth="1"/>
    <col min="5131" max="5376" width="8.796875" style="1431"/>
    <col min="5377" max="5377" width="8.296875" style="1431" customWidth="1"/>
    <col min="5378" max="5378" width="8.796875" style="1431"/>
    <col min="5379" max="5382" width="8.69921875" style="1431" customWidth="1"/>
    <col min="5383" max="5383" width="9.3984375" style="1431" bestFit="1" customWidth="1"/>
    <col min="5384" max="5385" width="8.69921875" style="1431" customWidth="1"/>
    <col min="5386" max="5386" width="11.69921875" style="1431" bestFit="1" customWidth="1"/>
    <col min="5387" max="5632" width="8.796875" style="1431"/>
    <col min="5633" max="5633" width="8.296875" style="1431" customWidth="1"/>
    <col min="5634" max="5634" width="8.796875" style="1431"/>
    <col min="5635" max="5638" width="8.69921875" style="1431" customWidth="1"/>
    <col min="5639" max="5639" width="9.3984375" style="1431" bestFit="1" customWidth="1"/>
    <col min="5640" max="5641" width="8.69921875" style="1431" customWidth="1"/>
    <col min="5642" max="5642" width="11.69921875" style="1431" bestFit="1" customWidth="1"/>
    <col min="5643" max="5888" width="8.796875" style="1431"/>
    <col min="5889" max="5889" width="8.296875" style="1431" customWidth="1"/>
    <col min="5890" max="5890" width="8.796875" style="1431"/>
    <col min="5891" max="5894" width="8.69921875" style="1431" customWidth="1"/>
    <col min="5895" max="5895" width="9.3984375" style="1431" bestFit="1" customWidth="1"/>
    <col min="5896" max="5897" width="8.69921875" style="1431" customWidth="1"/>
    <col min="5898" max="5898" width="11.69921875" style="1431" bestFit="1" customWidth="1"/>
    <col min="5899" max="6144" width="8.796875" style="1431"/>
    <col min="6145" max="6145" width="8.296875" style="1431" customWidth="1"/>
    <col min="6146" max="6146" width="8.796875" style="1431"/>
    <col min="6147" max="6150" width="8.69921875" style="1431" customWidth="1"/>
    <col min="6151" max="6151" width="9.3984375" style="1431" bestFit="1" customWidth="1"/>
    <col min="6152" max="6153" width="8.69921875" style="1431" customWidth="1"/>
    <col min="6154" max="6154" width="11.69921875" style="1431" bestFit="1" customWidth="1"/>
    <col min="6155" max="6400" width="8.796875" style="1431"/>
    <col min="6401" max="6401" width="8.296875" style="1431" customWidth="1"/>
    <col min="6402" max="6402" width="8.796875" style="1431"/>
    <col min="6403" max="6406" width="8.69921875" style="1431" customWidth="1"/>
    <col min="6407" max="6407" width="9.3984375" style="1431" bestFit="1" customWidth="1"/>
    <col min="6408" max="6409" width="8.69921875" style="1431" customWidth="1"/>
    <col min="6410" max="6410" width="11.69921875" style="1431" bestFit="1" customWidth="1"/>
    <col min="6411" max="6656" width="8.796875" style="1431"/>
    <col min="6657" max="6657" width="8.296875" style="1431" customWidth="1"/>
    <col min="6658" max="6658" width="8.796875" style="1431"/>
    <col min="6659" max="6662" width="8.69921875" style="1431" customWidth="1"/>
    <col min="6663" max="6663" width="9.3984375" style="1431" bestFit="1" customWidth="1"/>
    <col min="6664" max="6665" width="8.69921875" style="1431" customWidth="1"/>
    <col min="6666" max="6666" width="11.69921875" style="1431" bestFit="1" customWidth="1"/>
    <col min="6667" max="6912" width="8.796875" style="1431"/>
    <col min="6913" max="6913" width="8.296875" style="1431" customWidth="1"/>
    <col min="6914" max="6914" width="8.796875" style="1431"/>
    <col min="6915" max="6918" width="8.69921875" style="1431" customWidth="1"/>
    <col min="6919" max="6919" width="9.3984375" style="1431" bestFit="1" customWidth="1"/>
    <col min="6920" max="6921" width="8.69921875" style="1431" customWidth="1"/>
    <col min="6922" max="6922" width="11.69921875" style="1431" bestFit="1" customWidth="1"/>
    <col min="6923" max="7168" width="8.796875" style="1431"/>
    <col min="7169" max="7169" width="8.296875" style="1431" customWidth="1"/>
    <col min="7170" max="7170" width="8.796875" style="1431"/>
    <col min="7171" max="7174" width="8.69921875" style="1431" customWidth="1"/>
    <col min="7175" max="7175" width="9.3984375" style="1431" bestFit="1" customWidth="1"/>
    <col min="7176" max="7177" width="8.69921875" style="1431" customWidth="1"/>
    <col min="7178" max="7178" width="11.69921875" style="1431" bestFit="1" customWidth="1"/>
    <col min="7179" max="7424" width="8.796875" style="1431"/>
    <col min="7425" max="7425" width="8.296875" style="1431" customWidth="1"/>
    <col min="7426" max="7426" width="8.796875" style="1431"/>
    <col min="7427" max="7430" width="8.69921875" style="1431" customWidth="1"/>
    <col min="7431" max="7431" width="9.3984375" style="1431" bestFit="1" customWidth="1"/>
    <col min="7432" max="7433" width="8.69921875" style="1431" customWidth="1"/>
    <col min="7434" max="7434" width="11.69921875" style="1431" bestFit="1" customWidth="1"/>
    <col min="7435" max="7680" width="8.796875" style="1431"/>
    <col min="7681" max="7681" width="8.296875" style="1431" customWidth="1"/>
    <col min="7682" max="7682" width="8.796875" style="1431"/>
    <col min="7683" max="7686" width="8.69921875" style="1431" customWidth="1"/>
    <col min="7687" max="7687" width="9.3984375" style="1431" bestFit="1" customWidth="1"/>
    <col min="7688" max="7689" width="8.69921875" style="1431" customWidth="1"/>
    <col min="7690" max="7690" width="11.69921875" style="1431" bestFit="1" customWidth="1"/>
    <col min="7691" max="7936" width="8.796875" style="1431"/>
    <col min="7937" max="7937" width="8.296875" style="1431" customWidth="1"/>
    <col min="7938" max="7938" width="8.796875" style="1431"/>
    <col min="7939" max="7942" width="8.69921875" style="1431" customWidth="1"/>
    <col min="7943" max="7943" width="9.3984375" style="1431" bestFit="1" customWidth="1"/>
    <col min="7944" max="7945" width="8.69921875" style="1431" customWidth="1"/>
    <col min="7946" max="7946" width="11.69921875" style="1431" bestFit="1" customWidth="1"/>
    <col min="7947" max="8192" width="8.796875" style="1431"/>
    <col min="8193" max="8193" width="8.296875" style="1431" customWidth="1"/>
    <col min="8194" max="8194" width="8.796875" style="1431"/>
    <col min="8195" max="8198" width="8.69921875" style="1431" customWidth="1"/>
    <col min="8199" max="8199" width="9.3984375" style="1431" bestFit="1" customWidth="1"/>
    <col min="8200" max="8201" width="8.69921875" style="1431" customWidth="1"/>
    <col min="8202" max="8202" width="11.69921875" style="1431" bestFit="1" customWidth="1"/>
    <col min="8203" max="8448" width="8.796875" style="1431"/>
    <col min="8449" max="8449" width="8.296875" style="1431" customWidth="1"/>
    <col min="8450" max="8450" width="8.796875" style="1431"/>
    <col min="8451" max="8454" width="8.69921875" style="1431" customWidth="1"/>
    <col min="8455" max="8455" width="9.3984375" style="1431" bestFit="1" customWidth="1"/>
    <col min="8456" max="8457" width="8.69921875" style="1431" customWidth="1"/>
    <col min="8458" max="8458" width="11.69921875" style="1431" bestFit="1" customWidth="1"/>
    <col min="8459" max="8704" width="8.796875" style="1431"/>
    <col min="8705" max="8705" width="8.296875" style="1431" customWidth="1"/>
    <col min="8706" max="8706" width="8.796875" style="1431"/>
    <col min="8707" max="8710" width="8.69921875" style="1431" customWidth="1"/>
    <col min="8711" max="8711" width="9.3984375" style="1431" bestFit="1" customWidth="1"/>
    <col min="8712" max="8713" width="8.69921875" style="1431" customWidth="1"/>
    <col min="8714" max="8714" width="11.69921875" style="1431" bestFit="1" customWidth="1"/>
    <col min="8715" max="8960" width="8.796875" style="1431"/>
    <col min="8961" max="8961" width="8.296875" style="1431" customWidth="1"/>
    <col min="8962" max="8962" width="8.796875" style="1431"/>
    <col min="8963" max="8966" width="8.69921875" style="1431" customWidth="1"/>
    <col min="8967" max="8967" width="9.3984375" style="1431" bestFit="1" customWidth="1"/>
    <col min="8968" max="8969" width="8.69921875" style="1431" customWidth="1"/>
    <col min="8970" max="8970" width="11.69921875" style="1431" bestFit="1" customWidth="1"/>
    <col min="8971" max="9216" width="8.796875" style="1431"/>
    <col min="9217" max="9217" width="8.296875" style="1431" customWidth="1"/>
    <col min="9218" max="9218" width="8.796875" style="1431"/>
    <col min="9219" max="9222" width="8.69921875" style="1431" customWidth="1"/>
    <col min="9223" max="9223" width="9.3984375" style="1431" bestFit="1" customWidth="1"/>
    <col min="9224" max="9225" width="8.69921875" style="1431" customWidth="1"/>
    <col min="9226" max="9226" width="11.69921875" style="1431" bestFit="1" customWidth="1"/>
    <col min="9227" max="9472" width="8.796875" style="1431"/>
    <col min="9473" max="9473" width="8.296875" style="1431" customWidth="1"/>
    <col min="9474" max="9474" width="8.796875" style="1431"/>
    <col min="9475" max="9478" width="8.69921875" style="1431" customWidth="1"/>
    <col min="9479" max="9479" width="9.3984375" style="1431" bestFit="1" customWidth="1"/>
    <col min="9480" max="9481" width="8.69921875" style="1431" customWidth="1"/>
    <col min="9482" max="9482" width="11.69921875" style="1431" bestFit="1" customWidth="1"/>
    <col min="9483" max="9728" width="8.796875" style="1431"/>
    <col min="9729" max="9729" width="8.296875" style="1431" customWidth="1"/>
    <col min="9730" max="9730" width="8.796875" style="1431"/>
    <col min="9731" max="9734" width="8.69921875" style="1431" customWidth="1"/>
    <col min="9735" max="9735" width="9.3984375" style="1431" bestFit="1" customWidth="1"/>
    <col min="9736" max="9737" width="8.69921875" style="1431" customWidth="1"/>
    <col min="9738" max="9738" width="11.69921875" style="1431" bestFit="1" customWidth="1"/>
    <col min="9739" max="9984" width="8.796875" style="1431"/>
    <col min="9985" max="9985" width="8.296875" style="1431" customWidth="1"/>
    <col min="9986" max="9986" width="8.796875" style="1431"/>
    <col min="9987" max="9990" width="8.69921875" style="1431" customWidth="1"/>
    <col min="9991" max="9991" width="9.3984375" style="1431" bestFit="1" customWidth="1"/>
    <col min="9992" max="9993" width="8.69921875" style="1431" customWidth="1"/>
    <col min="9994" max="9994" width="11.69921875" style="1431" bestFit="1" customWidth="1"/>
    <col min="9995" max="10240" width="8.796875" style="1431"/>
    <col min="10241" max="10241" width="8.296875" style="1431" customWidth="1"/>
    <col min="10242" max="10242" width="8.796875" style="1431"/>
    <col min="10243" max="10246" width="8.69921875" style="1431" customWidth="1"/>
    <col min="10247" max="10247" width="9.3984375" style="1431" bestFit="1" customWidth="1"/>
    <col min="10248" max="10249" width="8.69921875" style="1431" customWidth="1"/>
    <col min="10250" max="10250" width="11.69921875" style="1431" bestFit="1" customWidth="1"/>
    <col min="10251" max="10496" width="8.796875" style="1431"/>
    <col min="10497" max="10497" width="8.296875" style="1431" customWidth="1"/>
    <col min="10498" max="10498" width="8.796875" style="1431"/>
    <col min="10499" max="10502" width="8.69921875" style="1431" customWidth="1"/>
    <col min="10503" max="10503" width="9.3984375" style="1431" bestFit="1" customWidth="1"/>
    <col min="10504" max="10505" width="8.69921875" style="1431" customWidth="1"/>
    <col min="10506" max="10506" width="11.69921875" style="1431" bestFit="1" customWidth="1"/>
    <col min="10507" max="10752" width="8.796875" style="1431"/>
    <col min="10753" max="10753" width="8.296875" style="1431" customWidth="1"/>
    <col min="10754" max="10754" width="8.796875" style="1431"/>
    <col min="10755" max="10758" width="8.69921875" style="1431" customWidth="1"/>
    <col min="10759" max="10759" width="9.3984375" style="1431" bestFit="1" customWidth="1"/>
    <col min="10760" max="10761" width="8.69921875" style="1431" customWidth="1"/>
    <col min="10762" max="10762" width="11.69921875" style="1431" bestFit="1" customWidth="1"/>
    <col min="10763" max="11008" width="8.796875" style="1431"/>
    <col min="11009" max="11009" width="8.296875" style="1431" customWidth="1"/>
    <col min="11010" max="11010" width="8.796875" style="1431"/>
    <col min="11011" max="11014" width="8.69921875" style="1431" customWidth="1"/>
    <col min="11015" max="11015" width="9.3984375" style="1431" bestFit="1" customWidth="1"/>
    <col min="11016" max="11017" width="8.69921875" style="1431" customWidth="1"/>
    <col min="11018" max="11018" width="11.69921875" style="1431" bestFit="1" customWidth="1"/>
    <col min="11019" max="11264" width="8.796875" style="1431"/>
    <col min="11265" max="11265" width="8.296875" style="1431" customWidth="1"/>
    <col min="11266" max="11266" width="8.796875" style="1431"/>
    <col min="11267" max="11270" width="8.69921875" style="1431" customWidth="1"/>
    <col min="11271" max="11271" width="9.3984375" style="1431" bestFit="1" customWidth="1"/>
    <col min="11272" max="11273" width="8.69921875" style="1431" customWidth="1"/>
    <col min="11274" max="11274" width="11.69921875" style="1431" bestFit="1" customWidth="1"/>
    <col min="11275" max="11520" width="8.796875" style="1431"/>
    <col min="11521" max="11521" width="8.296875" style="1431" customWidth="1"/>
    <col min="11522" max="11522" width="8.796875" style="1431"/>
    <col min="11523" max="11526" width="8.69921875" style="1431" customWidth="1"/>
    <col min="11527" max="11527" width="9.3984375" style="1431" bestFit="1" customWidth="1"/>
    <col min="11528" max="11529" width="8.69921875" style="1431" customWidth="1"/>
    <col min="11530" max="11530" width="11.69921875" style="1431" bestFit="1" customWidth="1"/>
    <col min="11531" max="11776" width="8.796875" style="1431"/>
    <col min="11777" max="11777" width="8.296875" style="1431" customWidth="1"/>
    <col min="11778" max="11778" width="8.796875" style="1431"/>
    <col min="11779" max="11782" width="8.69921875" style="1431" customWidth="1"/>
    <col min="11783" max="11783" width="9.3984375" style="1431" bestFit="1" customWidth="1"/>
    <col min="11784" max="11785" width="8.69921875" style="1431" customWidth="1"/>
    <col min="11786" max="11786" width="11.69921875" style="1431" bestFit="1" customWidth="1"/>
    <col min="11787" max="12032" width="8.796875" style="1431"/>
    <col min="12033" max="12033" width="8.296875" style="1431" customWidth="1"/>
    <col min="12034" max="12034" width="8.796875" style="1431"/>
    <col min="12035" max="12038" width="8.69921875" style="1431" customWidth="1"/>
    <col min="12039" max="12039" width="9.3984375" style="1431" bestFit="1" customWidth="1"/>
    <col min="12040" max="12041" width="8.69921875" style="1431" customWidth="1"/>
    <col min="12042" max="12042" width="11.69921875" style="1431" bestFit="1" customWidth="1"/>
    <col min="12043" max="12288" width="8.796875" style="1431"/>
    <col min="12289" max="12289" width="8.296875" style="1431" customWidth="1"/>
    <col min="12290" max="12290" width="8.796875" style="1431"/>
    <col min="12291" max="12294" width="8.69921875" style="1431" customWidth="1"/>
    <col min="12295" max="12295" width="9.3984375" style="1431" bestFit="1" customWidth="1"/>
    <col min="12296" max="12297" width="8.69921875" style="1431" customWidth="1"/>
    <col min="12298" max="12298" width="11.69921875" style="1431" bestFit="1" customWidth="1"/>
    <col min="12299" max="12544" width="8.796875" style="1431"/>
    <col min="12545" max="12545" width="8.296875" style="1431" customWidth="1"/>
    <col min="12546" max="12546" width="8.796875" style="1431"/>
    <col min="12547" max="12550" width="8.69921875" style="1431" customWidth="1"/>
    <col min="12551" max="12551" width="9.3984375" style="1431" bestFit="1" customWidth="1"/>
    <col min="12552" max="12553" width="8.69921875" style="1431" customWidth="1"/>
    <col min="12554" max="12554" width="11.69921875" style="1431" bestFit="1" customWidth="1"/>
    <col min="12555" max="12800" width="8.796875" style="1431"/>
    <col min="12801" max="12801" width="8.296875" style="1431" customWidth="1"/>
    <col min="12802" max="12802" width="8.796875" style="1431"/>
    <col min="12803" max="12806" width="8.69921875" style="1431" customWidth="1"/>
    <col min="12807" max="12807" width="9.3984375" style="1431" bestFit="1" customWidth="1"/>
    <col min="12808" max="12809" width="8.69921875" style="1431" customWidth="1"/>
    <col min="12810" max="12810" width="11.69921875" style="1431" bestFit="1" customWidth="1"/>
    <col min="12811" max="13056" width="8.796875" style="1431"/>
    <col min="13057" max="13057" width="8.296875" style="1431" customWidth="1"/>
    <col min="13058" max="13058" width="8.796875" style="1431"/>
    <col min="13059" max="13062" width="8.69921875" style="1431" customWidth="1"/>
    <col min="13063" max="13063" width="9.3984375" style="1431" bestFit="1" customWidth="1"/>
    <col min="13064" max="13065" width="8.69921875" style="1431" customWidth="1"/>
    <col min="13066" max="13066" width="11.69921875" style="1431" bestFit="1" customWidth="1"/>
    <col min="13067" max="13312" width="8.796875" style="1431"/>
    <col min="13313" max="13313" width="8.296875" style="1431" customWidth="1"/>
    <col min="13314" max="13314" width="8.796875" style="1431"/>
    <col min="13315" max="13318" width="8.69921875" style="1431" customWidth="1"/>
    <col min="13319" max="13319" width="9.3984375" style="1431" bestFit="1" customWidth="1"/>
    <col min="13320" max="13321" width="8.69921875" style="1431" customWidth="1"/>
    <col min="13322" max="13322" width="11.69921875" style="1431" bestFit="1" customWidth="1"/>
    <col min="13323" max="13568" width="8.796875" style="1431"/>
    <col min="13569" max="13569" width="8.296875" style="1431" customWidth="1"/>
    <col min="13570" max="13570" width="8.796875" style="1431"/>
    <col min="13571" max="13574" width="8.69921875" style="1431" customWidth="1"/>
    <col min="13575" max="13575" width="9.3984375" style="1431" bestFit="1" customWidth="1"/>
    <col min="13576" max="13577" width="8.69921875" style="1431" customWidth="1"/>
    <col min="13578" max="13578" width="11.69921875" style="1431" bestFit="1" customWidth="1"/>
    <col min="13579" max="13824" width="8.796875" style="1431"/>
    <col min="13825" max="13825" width="8.296875" style="1431" customWidth="1"/>
    <col min="13826" max="13826" width="8.796875" style="1431"/>
    <col min="13827" max="13830" width="8.69921875" style="1431" customWidth="1"/>
    <col min="13831" max="13831" width="9.3984375" style="1431" bestFit="1" customWidth="1"/>
    <col min="13832" max="13833" width="8.69921875" style="1431" customWidth="1"/>
    <col min="13834" max="13834" width="11.69921875" style="1431" bestFit="1" customWidth="1"/>
    <col min="13835" max="14080" width="8.796875" style="1431"/>
    <col min="14081" max="14081" width="8.296875" style="1431" customWidth="1"/>
    <col min="14082" max="14082" width="8.796875" style="1431"/>
    <col min="14083" max="14086" width="8.69921875" style="1431" customWidth="1"/>
    <col min="14087" max="14087" width="9.3984375" style="1431" bestFit="1" customWidth="1"/>
    <col min="14088" max="14089" width="8.69921875" style="1431" customWidth="1"/>
    <col min="14090" max="14090" width="11.69921875" style="1431" bestFit="1" customWidth="1"/>
    <col min="14091" max="14336" width="8.796875" style="1431"/>
    <col min="14337" max="14337" width="8.296875" style="1431" customWidth="1"/>
    <col min="14338" max="14338" width="8.796875" style="1431"/>
    <col min="14339" max="14342" width="8.69921875" style="1431" customWidth="1"/>
    <col min="14343" max="14343" width="9.3984375" style="1431" bestFit="1" customWidth="1"/>
    <col min="14344" max="14345" width="8.69921875" style="1431" customWidth="1"/>
    <col min="14346" max="14346" width="11.69921875" style="1431" bestFit="1" customWidth="1"/>
    <col min="14347" max="14592" width="8.796875" style="1431"/>
    <col min="14593" max="14593" width="8.296875" style="1431" customWidth="1"/>
    <col min="14594" max="14594" width="8.796875" style="1431"/>
    <col min="14595" max="14598" width="8.69921875" style="1431" customWidth="1"/>
    <col min="14599" max="14599" width="9.3984375" style="1431" bestFit="1" customWidth="1"/>
    <col min="14600" max="14601" width="8.69921875" style="1431" customWidth="1"/>
    <col min="14602" max="14602" width="11.69921875" style="1431" bestFit="1" customWidth="1"/>
    <col min="14603" max="14848" width="8.796875" style="1431"/>
    <col min="14849" max="14849" width="8.296875" style="1431" customWidth="1"/>
    <col min="14850" max="14850" width="8.796875" style="1431"/>
    <col min="14851" max="14854" width="8.69921875" style="1431" customWidth="1"/>
    <col min="14855" max="14855" width="9.3984375" style="1431" bestFit="1" customWidth="1"/>
    <col min="14856" max="14857" width="8.69921875" style="1431" customWidth="1"/>
    <col min="14858" max="14858" width="11.69921875" style="1431" bestFit="1" customWidth="1"/>
    <col min="14859" max="15104" width="8.796875" style="1431"/>
    <col min="15105" max="15105" width="8.296875" style="1431" customWidth="1"/>
    <col min="15106" max="15106" width="8.796875" style="1431"/>
    <col min="15107" max="15110" width="8.69921875" style="1431" customWidth="1"/>
    <col min="15111" max="15111" width="9.3984375" style="1431" bestFit="1" customWidth="1"/>
    <col min="15112" max="15113" width="8.69921875" style="1431" customWidth="1"/>
    <col min="15114" max="15114" width="11.69921875" style="1431" bestFit="1" customWidth="1"/>
    <col min="15115" max="15360" width="8.796875" style="1431"/>
    <col min="15361" max="15361" width="8.296875" style="1431" customWidth="1"/>
    <col min="15362" max="15362" width="8.796875" style="1431"/>
    <col min="15363" max="15366" width="8.69921875" style="1431" customWidth="1"/>
    <col min="15367" max="15367" width="9.3984375" style="1431" bestFit="1" customWidth="1"/>
    <col min="15368" max="15369" width="8.69921875" style="1431" customWidth="1"/>
    <col min="15370" max="15370" width="11.69921875" style="1431" bestFit="1" customWidth="1"/>
    <col min="15371" max="15616" width="8.796875" style="1431"/>
    <col min="15617" max="15617" width="8.296875" style="1431" customWidth="1"/>
    <col min="15618" max="15618" width="8.796875" style="1431"/>
    <col min="15619" max="15622" width="8.69921875" style="1431" customWidth="1"/>
    <col min="15623" max="15623" width="9.3984375" style="1431" bestFit="1" customWidth="1"/>
    <col min="15624" max="15625" width="8.69921875" style="1431" customWidth="1"/>
    <col min="15626" max="15626" width="11.69921875" style="1431" bestFit="1" customWidth="1"/>
    <col min="15627" max="15872" width="8.796875" style="1431"/>
    <col min="15873" max="15873" width="8.296875" style="1431" customWidth="1"/>
    <col min="15874" max="15874" width="8.796875" style="1431"/>
    <col min="15875" max="15878" width="8.69921875" style="1431" customWidth="1"/>
    <col min="15879" max="15879" width="9.3984375" style="1431" bestFit="1" customWidth="1"/>
    <col min="15880" max="15881" width="8.69921875" style="1431" customWidth="1"/>
    <col min="15882" max="15882" width="11.69921875" style="1431" bestFit="1" customWidth="1"/>
    <col min="15883" max="16128" width="8.796875" style="1431"/>
    <col min="16129" max="16129" width="8.296875" style="1431" customWidth="1"/>
    <col min="16130" max="16130" width="8.796875" style="1431"/>
    <col min="16131" max="16134" width="8.69921875" style="1431" customWidth="1"/>
    <col min="16135" max="16135" width="9.3984375" style="1431" bestFit="1" customWidth="1"/>
    <col min="16136" max="16137" width="8.69921875" style="1431" customWidth="1"/>
    <col min="16138" max="16138" width="11.69921875" style="1431" bestFit="1" customWidth="1"/>
    <col min="16139" max="16384" width="8.796875" style="1431"/>
  </cols>
  <sheetData>
    <row r="1" spans="1:9" ht="30" customHeight="1" thickBot="1">
      <c r="A1" s="2142" t="s">
        <v>2828</v>
      </c>
      <c r="B1" s="2142"/>
      <c r="C1" s="2142"/>
      <c r="F1" s="2504"/>
      <c r="G1" s="2504"/>
      <c r="H1" s="2504"/>
      <c r="I1" s="2504"/>
    </row>
    <row r="2" spans="1:9" s="1236" customFormat="1" ht="16.8" customHeight="1">
      <c r="A2" s="2505" t="s">
        <v>870</v>
      </c>
      <c r="B2" s="2507" t="s">
        <v>2829</v>
      </c>
      <c r="C2" s="2507" t="s">
        <v>2745</v>
      </c>
      <c r="D2" s="2001" t="s">
        <v>2830</v>
      </c>
      <c r="E2" s="2001" t="s">
        <v>2831</v>
      </c>
      <c r="F2" s="2001" t="s">
        <v>2832</v>
      </c>
      <c r="G2" s="2509" t="s">
        <v>2833</v>
      </c>
      <c r="H2" s="2510"/>
      <c r="I2" s="2104" t="s">
        <v>2834</v>
      </c>
    </row>
    <row r="3" spans="1:9" s="1236" customFormat="1" ht="16.8" customHeight="1">
      <c r="A3" s="2506"/>
      <c r="B3" s="2508"/>
      <c r="C3" s="2508"/>
      <c r="D3" s="2002" t="s">
        <v>2835</v>
      </c>
      <c r="E3" s="2002" t="s">
        <v>2836</v>
      </c>
      <c r="F3" s="2002" t="s">
        <v>2837</v>
      </c>
      <c r="G3" s="1495" t="s">
        <v>2838</v>
      </c>
      <c r="H3" s="2000" t="s">
        <v>2835</v>
      </c>
      <c r="I3" s="2105" t="s">
        <v>2835</v>
      </c>
    </row>
    <row r="4" spans="1:9" s="1236" customFormat="1" ht="10.8">
      <c r="A4" s="1471"/>
      <c r="B4" s="1241"/>
      <c r="C4" s="1275" t="s">
        <v>167</v>
      </c>
      <c r="D4" s="1275" t="s">
        <v>2820</v>
      </c>
      <c r="E4" s="1275" t="s">
        <v>2820</v>
      </c>
      <c r="F4" s="1275" t="s">
        <v>2820</v>
      </c>
      <c r="G4" s="1275" t="s">
        <v>167</v>
      </c>
      <c r="H4" s="1472" t="s">
        <v>2820</v>
      </c>
      <c r="I4" s="1473" t="s">
        <v>2820</v>
      </c>
    </row>
    <row r="5" spans="1:9" s="1236" customFormat="1" ht="19.8" customHeight="1">
      <c r="A5" s="1485" t="s">
        <v>191</v>
      </c>
      <c r="B5" s="450">
        <v>677</v>
      </c>
      <c r="C5" s="450">
        <v>2311</v>
      </c>
      <c r="D5" s="1220">
        <v>1068142</v>
      </c>
      <c r="E5" s="1496">
        <v>13220</v>
      </c>
      <c r="F5" s="1496">
        <v>128460</v>
      </c>
      <c r="G5" s="1497">
        <f t="shared" ref="G5:G17" si="0">C5/B5</f>
        <v>3.4135893648449041</v>
      </c>
      <c r="H5" s="1498">
        <f t="shared" ref="H5:H17" si="1">D5/B5</f>
        <v>1577.7577548005909</v>
      </c>
      <c r="I5" s="1499">
        <f t="shared" ref="I5:I17" si="2">D5/C5</f>
        <v>462.19904803115537</v>
      </c>
    </row>
    <row r="6" spans="1:9" s="1236" customFormat="1" ht="19.8" customHeight="1">
      <c r="A6" s="1485">
        <v>47</v>
      </c>
      <c r="B6" s="450">
        <v>850</v>
      </c>
      <c r="C6" s="450">
        <v>2965</v>
      </c>
      <c r="D6" s="1220">
        <v>1471566</v>
      </c>
      <c r="E6" s="1496">
        <v>18382</v>
      </c>
      <c r="F6" s="1496">
        <v>142520</v>
      </c>
      <c r="G6" s="1500">
        <f t="shared" si="0"/>
        <v>3.4882352941176471</v>
      </c>
      <c r="H6" s="1498">
        <f t="shared" si="1"/>
        <v>1731.2541176470588</v>
      </c>
      <c r="I6" s="1499">
        <f t="shared" si="2"/>
        <v>496.31231028667793</v>
      </c>
    </row>
    <row r="7" spans="1:9" s="1236" customFormat="1" ht="19.8" customHeight="1">
      <c r="A7" s="1485">
        <v>49</v>
      </c>
      <c r="B7" s="450">
        <v>849</v>
      </c>
      <c r="C7" s="450">
        <v>2831</v>
      </c>
      <c r="D7" s="1220">
        <v>2213841</v>
      </c>
      <c r="E7" s="1496">
        <v>28700</v>
      </c>
      <c r="F7" s="1496">
        <v>237240</v>
      </c>
      <c r="G7" s="1500">
        <f t="shared" si="0"/>
        <v>3.3345111896348647</v>
      </c>
      <c r="H7" s="1498">
        <f t="shared" si="1"/>
        <v>2607.5865724381624</v>
      </c>
      <c r="I7" s="1499">
        <f t="shared" si="2"/>
        <v>781.99964676792649</v>
      </c>
    </row>
    <row r="8" spans="1:9" s="1236" customFormat="1" ht="19.8" customHeight="1">
      <c r="A8" s="1485">
        <v>51</v>
      </c>
      <c r="B8" s="450">
        <v>869</v>
      </c>
      <c r="C8" s="450">
        <v>3191</v>
      </c>
      <c r="D8" s="1220">
        <v>2880965</v>
      </c>
      <c r="E8" s="1496">
        <v>55316</v>
      </c>
      <c r="F8" s="1496">
        <v>294434</v>
      </c>
      <c r="G8" s="1500">
        <f t="shared" si="0"/>
        <v>3.6720368239355583</v>
      </c>
      <c r="H8" s="1498">
        <f t="shared" si="1"/>
        <v>3315.2646720368239</v>
      </c>
      <c r="I8" s="1499">
        <f t="shared" si="2"/>
        <v>902.84080225634602</v>
      </c>
    </row>
    <row r="9" spans="1:9" s="1236" customFormat="1" ht="19.8" customHeight="1">
      <c r="A9" s="1485">
        <v>54</v>
      </c>
      <c r="B9" s="450">
        <v>872</v>
      </c>
      <c r="C9" s="450">
        <v>2939</v>
      </c>
      <c r="D9" s="1220">
        <v>3541045</v>
      </c>
      <c r="E9" s="1496">
        <v>63085</v>
      </c>
      <c r="F9" s="1496">
        <v>330679</v>
      </c>
      <c r="G9" s="1500">
        <f t="shared" si="0"/>
        <v>3.3704128440366974</v>
      </c>
      <c r="H9" s="1498">
        <f t="shared" si="1"/>
        <v>4060.8314220183488</v>
      </c>
      <c r="I9" s="1499">
        <f t="shared" si="2"/>
        <v>1204.8468866961553</v>
      </c>
    </row>
    <row r="10" spans="1:9" s="1236" customFormat="1" ht="19.8" customHeight="1">
      <c r="A10" s="1485">
        <v>57</v>
      </c>
      <c r="B10" s="450">
        <v>943</v>
      </c>
      <c r="C10" s="450">
        <v>3058</v>
      </c>
      <c r="D10" s="1220">
        <v>4542633</v>
      </c>
      <c r="E10" s="1496">
        <v>95755</v>
      </c>
      <c r="F10" s="1496">
        <v>464071</v>
      </c>
      <c r="G10" s="1500">
        <f t="shared" si="0"/>
        <v>3.2428419936373278</v>
      </c>
      <c r="H10" s="1498">
        <f t="shared" si="1"/>
        <v>4817.2142099681869</v>
      </c>
      <c r="I10" s="1499">
        <f t="shared" si="2"/>
        <v>1485.4914977109222</v>
      </c>
    </row>
    <row r="11" spans="1:9" s="1236" customFormat="1" ht="19.8" customHeight="1">
      <c r="A11" s="1485">
        <v>60</v>
      </c>
      <c r="B11" s="450">
        <v>592</v>
      </c>
      <c r="C11" s="450">
        <v>2238</v>
      </c>
      <c r="D11" s="1220">
        <v>4893838</v>
      </c>
      <c r="E11" s="1496">
        <v>125316</v>
      </c>
      <c r="F11" s="1496">
        <v>461123</v>
      </c>
      <c r="G11" s="1500">
        <f t="shared" si="0"/>
        <v>3.7804054054054053</v>
      </c>
      <c r="H11" s="1498">
        <f t="shared" si="1"/>
        <v>8266.6182432432433</v>
      </c>
      <c r="I11" s="1499">
        <f t="shared" si="2"/>
        <v>2186.7015192135837</v>
      </c>
    </row>
    <row r="12" spans="1:9" s="1236" customFormat="1" ht="19.8" customHeight="1">
      <c r="A12" s="1485">
        <v>63</v>
      </c>
      <c r="B12" s="450">
        <v>604</v>
      </c>
      <c r="C12" s="450">
        <v>2527</v>
      </c>
      <c r="D12" s="1220">
        <v>5878910</v>
      </c>
      <c r="E12" s="1496">
        <v>187916</v>
      </c>
      <c r="F12" s="1496">
        <v>509328</v>
      </c>
      <c r="G12" s="1500">
        <f t="shared" si="0"/>
        <v>4.1837748344370862</v>
      </c>
      <c r="H12" s="1498">
        <f t="shared" si="1"/>
        <v>9733.2947019867552</v>
      </c>
      <c r="I12" s="1499">
        <f t="shared" si="2"/>
        <v>2326.4384645825089</v>
      </c>
    </row>
    <row r="13" spans="1:9" s="1236" customFormat="1" ht="19.8" customHeight="1">
      <c r="A13" s="1485" t="s">
        <v>2839</v>
      </c>
      <c r="B13" s="450">
        <v>561</v>
      </c>
      <c r="C13" s="450">
        <v>2385</v>
      </c>
      <c r="D13" s="1220">
        <v>7160369</v>
      </c>
      <c r="E13" s="1496">
        <v>243716</v>
      </c>
      <c r="F13" s="1496">
        <v>650268</v>
      </c>
      <c r="G13" s="1500">
        <f t="shared" si="0"/>
        <v>4.2513368983957216</v>
      </c>
      <c r="H13" s="1498">
        <f t="shared" si="1"/>
        <v>12763.58110516934</v>
      </c>
      <c r="I13" s="1499">
        <f t="shared" si="2"/>
        <v>3002.2511530398324</v>
      </c>
    </row>
    <row r="14" spans="1:9" s="1236" customFormat="1" ht="19.8" customHeight="1">
      <c r="A14" s="1485">
        <v>6</v>
      </c>
      <c r="B14" s="450">
        <v>525</v>
      </c>
      <c r="C14" s="450">
        <v>2557</v>
      </c>
      <c r="D14" s="1220">
        <v>6758250</v>
      </c>
      <c r="E14" s="1496">
        <v>260948</v>
      </c>
      <c r="F14" s="1496">
        <v>514750</v>
      </c>
      <c r="G14" s="1500">
        <f t="shared" si="0"/>
        <v>4.8704761904761904</v>
      </c>
      <c r="H14" s="1498">
        <f t="shared" si="1"/>
        <v>12872.857142857143</v>
      </c>
      <c r="I14" s="1499">
        <f t="shared" si="2"/>
        <v>2643.0387172467736</v>
      </c>
    </row>
    <row r="15" spans="1:9" s="1236" customFormat="1" ht="19.8" customHeight="1">
      <c r="A15" s="1485">
        <v>9</v>
      </c>
      <c r="B15" s="450">
        <v>474</v>
      </c>
      <c r="C15" s="450">
        <v>2288</v>
      </c>
      <c r="D15" s="1220">
        <v>7749198</v>
      </c>
      <c r="E15" s="1496">
        <v>281409</v>
      </c>
      <c r="F15" s="1496">
        <v>563795</v>
      </c>
      <c r="G15" s="1500">
        <f t="shared" si="0"/>
        <v>4.8270042194092824</v>
      </c>
      <c r="H15" s="1498">
        <f t="shared" si="1"/>
        <v>16348.518987341773</v>
      </c>
      <c r="I15" s="1499">
        <f t="shared" si="2"/>
        <v>3386.8872377622379</v>
      </c>
    </row>
    <row r="16" spans="1:9" s="1236" customFormat="1" ht="19.8" customHeight="1">
      <c r="A16" s="1485">
        <v>14</v>
      </c>
      <c r="B16" s="1501">
        <v>467</v>
      </c>
      <c r="C16" s="450">
        <v>2650</v>
      </c>
      <c r="D16" s="1220">
        <v>5616014</v>
      </c>
      <c r="E16" s="1502">
        <v>223151</v>
      </c>
      <c r="F16" s="1502">
        <v>482318</v>
      </c>
      <c r="G16" s="1500">
        <f t="shared" si="0"/>
        <v>5.6745182012847968</v>
      </c>
      <c r="H16" s="1498">
        <f t="shared" si="1"/>
        <v>12025.72591006424</v>
      </c>
      <c r="I16" s="1503">
        <f t="shared" si="2"/>
        <v>2119.250566037736</v>
      </c>
    </row>
    <row r="17" spans="1:10" s="1236" customFormat="1" ht="19.8" customHeight="1">
      <c r="A17" s="1485">
        <v>16</v>
      </c>
      <c r="B17" s="1501">
        <v>432</v>
      </c>
      <c r="C17" s="450">
        <v>2458</v>
      </c>
      <c r="D17" s="1220">
        <v>5031070</v>
      </c>
      <c r="E17" s="1502" t="s">
        <v>69</v>
      </c>
      <c r="F17" s="1502" t="s">
        <v>69</v>
      </c>
      <c r="G17" s="1500">
        <f t="shared" si="0"/>
        <v>5.6898148148148149</v>
      </c>
      <c r="H17" s="1498">
        <f t="shared" si="1"/>
        <v>11645.99537037037</v>
      </c>
      <c r="I17" s="1503">
        <f t="shared" si="2"/>
        <v>2046.8144833197721</v>
      </c>
    </row>
    <row r="18" spans="1:10" s="1236" customFormat="1" ht="19.8" customHeight="1">
      <c r="A18" s="1485">
        <v>19</v>
      </c>
      <c r="B18" s="1501">
        <v>385</v>
      </c>
      <c r="C18" s="450">
        <v>2291</v>
      </c>
      <c r="D18" s="1220">
        <v>4299494</v>
      </c>
      <c r="E18" s="1502">
        <v>80510</v>
      </c>
      <c r="F18" s="1502">
        <v>373182</v>
      </c>
      <c r="G18" s="1500">
        <f>C18/B18</f>
        <v>5.9506493506493507</v>
      </c>
      <c r="H18" s="1498">
        <f>D18/B18</f>
        <v>11167.516883116883</v>
      </c>
      <c r="I18" s="1503">
        <f>D18/C18</f>
        <v>1876.6887821911828</v>
      </c>
    </row>
    <row r="19" spans="1:10" s="1236" customFormat="1" ht="19.8" customHeight="1">
      <c r="A19" s="1485">
        <v>24</v>
      </c>
      <c r="B19" s="1501">
        <v>264</v>
      </c>
      <c r="C19" s="450">
        <v>1456</v>
      </c>
      <c r="D19" s="1220">
        <v>3140017</v>
      </c>
      <c r="E19" s="1502">
        <v>193922</v>
      </c>
      <c r="F19" s="1502">
        <v>339252</v>
      </c>
      <c r="G19" s="1500">
        <v>5.5151515151515156</v>
      </c>
      <c r="H19" s="1498">
        <v>11894.003787878788</v>
      </c>
      <c r="I19" s="1503">
        <v>2156.6050824175823</v>
      </c>
    </row>
    <row r="20" spans="1:10" s="1236" customFormat="1" ht="19.8" customHeight="1">
      <c r="A20" s="1485">
        <v>26</v>
      </c>
      <c r="B20" s="1501">
        <v>293</v>
      </c>
      <c r="C20" s="450">
        <v>1672</v>
      </c>
      <c r="D20" s="1220">
        <v>3627000</v>
      </c>
      <c r="E20" s="1502" t="s">
        <v>73</v>
      </c>
      <c r="F20" s="1502" t="s">
        <v>73</v>
      </c>
      <c r="G20" s="1500">
        <v>5.7064846416382249</v>
      </c>
      <c r="H20" s="1498">
        <v>12378.839590443686</v>
      </c>
      <c r="I20" s="1503">
        <v>2169.2583732057415</v>
      </c>
    </row>
    <row r="21" spans="1:10" s="1236" customFormat="1" ht="19.8" customHeight="1">
      <c r="A21" s="1485">
        <v>28</v>
      </c>
      <c r="B21" s="1501">
        <v>276</v>
      </c>
      <c r="C21" s="450">
        <v>1665</v>
      </c>
      <c r="D21" s="1220">
        <v>3491600</v>
      </c>
      <c r="E21" s="1502" t="s">
        <v>73</v>
      </c>
      <c r="F21" s="1502" t="s">
        <v>73</v>
      </c>
      <c r="G21" s="1500">
        <v>6.0326086956521738</v>
      </c>
      <c r="H21" s="1498">
        <v>12650.72463768116</v>
      </c>
      <c r="I21" s="1503">
        <v>2097.0570570570571</v>
      </c>
    </row>
    <row r="22" spans="1:10" s="1236" customFormat="1" ht="19.8" customHeight="1" thickBot="1">
      <c r="A22" s="1504">
        <v>3</v>
      </c>
      <c r="B22" s="1505">
        <v>252</v>
      </c>
      <c r="C22" s="452">
        <v>1686</v>
      </c>
      <c r="D22" s="1231">
        <v>3412781</v>
      </c>
      <c r="E22" s="1506" t="s">
        <v>73</v>
      </c>
      <c r="F22" s="1506" t="s">
        <v>73</v>
      </c>
      <c r="G22" s="1507">
        <v>6.6904761904761907</v>
      </c>
      <c r="H22" s="1508">
        <v>13542.781746031746</v>
      </c>
      <c r="I22" s="1509">
        <v>2024.1880189798339</v>
      </c>
    </row>
    <row r="23" spans="1:10" s="1236" customFormat="1" ht="16.2" customHeight="1">
      <c r="A23" s="1236" t="s">
        <v>2840</v>
      </c>
    </row>
    <row r="24" spans="1:10" s="1236" customFormat="1" ht="16.2" customHeight="1">
      <c r="A24" s="1236" t="s">
        <v>2841</v>
      </c>
      <c r="I24" s="1510"/>
    </row>
    <row r="25" spans="1:10" s="1236" customFormat="1" ht="16.2" customHeight="1">
      <c r="A25" s="1236" t="s">
        <v>2842</v>
      </c>
      <c r="J25" s="322"/>
    </row>
    <row r="26" spans="1:10" ht="16.2" customHeight="1">
      <c r="A26" s="1236" t="s">
        <v>2843</v>
      </c>
    </row>
    <row r="27" spans="1:10" ht="16.2" customHeight="1">
      <c r="A27" s="1236" t="s">
        <v>2844</v>
      </c>
    </row>
  </sheetData>
  <mergeCells count="5">
    <mergeCell ref="F1:I1"/>
    <mergeCell ref="A2:A3"/>
    <mergeCell ref="B2:B3"/>
    <mergeCell ref="C2:C3"/>
    <mergeCell ref="G2:H2"/>
  </mergeCells>
  <phoneticPr fontId="4"/>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B5E8C-CC89-4923-8043-925B0EBE1D27}">
  <sheetPr codeName="Sheet110"/>
  <dimension ref="A1:J40"/>
  <sheetViews>
    <sheetView view="pageBreakPreview" zoomScale="60" zoomScaleNormal="100" workbookViewId="0"/>
  </sheetViews>
  <sheetFormatPr defaultRowHeight="13.2"/>
  <cols>
    <col min="1" max="2" width="9.796875" style="1343" customWidth="1"/>
    <col min="3" max="3" width="5.5" style="1343" customWidth="1"/>
    <col min="4" max="4" width="10.8984375" style="1343" customWidth="1"/>
    <col min="5" max="5" width="5.5" style="1343" customWidth="1"/>
    <col min="6" max="6" width="10.8984375" style="1343" customWidth="1"/>
    <col min="7" max="7" width="5.5" style="1343" customWidth="1"/>
    <col min="8" max="8" width="10.8984375" style="1343" customWidth="1"/>
    <col min="9" max="9" width="5.5" style="1343" customWidth="1"/>
    <col min="10" max="10" width="10.8984375" style="1343" customWidth="1"/>
    <col min="11" max="256" width="8.796875" style="1343"/>
    <col min="257" max="258" width="9.796875" style="1343" customWidth="1"/>
    <col min="259" max="259" width="5.5" style="1343" customWidth="1"/>
    <col min="260" max="260" width="10.8984375" style="1343" customWidth="1"/>
    <col min="261" max="261" width="5.5" style="1343" customWidth="1"/>
    <col min="262" max="262" width="10.8984375" style="1343" customWidth="1"/>
    <col min="263" max="263" width="5.5" style="1343" customWidth="1"/>
    <col min="264" max="264" width="10.8984375" style="1343" customWidth="1"/>
    <col min="265" max="265" width="5.5" style="1343" customWidth="1"/>
    <col min="266" max="266" width="10.8984375" style="1343" customWidth="1"/>
    <col min="267" max="512" width="8.796875" style="1343"/>
    <col min="513" max="514" width="9.796875" style="1343" customWidth="1"/>
    <col min="515" max="515" width="5.5" style="1343" customWidth="1"/>
    <col min="516" max="516" width="10.8984375" style="1343" customWidth="1"/>
    <col min="517" max="517" width="5.5" style="1343" customWidth="1"/>
    <col min="518" max="518" width="10.8984375" style="1343" customWidth="1"/>
    <col min="519" max="519" width="5.5" style="1343" customWidth="1"/>
    <col min="520" max="520" width="10.8984375" style="1343" customWidth="1"/>
    <col min="521" max="521" width="5.5" style="1343" customWidth="1"/>
    <col min="522" max="522" width="10.8984375" style="1343" customWidth="1"/>
    <col min="523" max="768" width="8.796875" style="1343"/>
    <col min="769" max="770" width="9.796875" style="1343" customWidth="1"/>
    <col min="771" max="771" width="5.5" style="1343" customWidth="1"/>
    <col min="772" max="772" width="10.8984375" style="1343" customWidth="1"/>
    <col min="773" max="773" width="5.5" style="1343" customWidth="1"/>
    <col min="774" max="774" width="10.8984375" style="1343" customWidth="1"/>
    <col min="775" max="775" width="5.5" style="1343" customWidth="1"/>
    <col min="776" max="776" width="10.8984375" style="1343" customWidth="1"/>
    <col min="777" max="777" width="5.5" style="1343" customWidth="1"/>
    <col min="778" max="778" width="10.8984375" style="1343" customWidth="1"/>
    <col min="779" max="1024" width="8.796875" style="1343"/>
    <col min="1025" max="1026" width="9.796875" style="1343" customWidth="1"/>
    <col min="1027" max="1027" width="5.5" style="1343" customWidth="1"/>
    <col min="1028" max="1028" width="10.8984375" style="1343" customWidth="1"/>
    <col min="1029" max="1029" width="5.5" style="1343" customWidth="1"/>
    <col min="1030" max="1030" width="10.8984375" style="1343" customWidth="1"/>
    <col min="1031" max="1031" width="5.5" style="1343" customWidth="1"/>
    <col min="1032" max="1032" width="10.8984375" style="1343" customWidth="1"/>
    <col min="1033" max="1033" width="5.5" style="1343" customWidth="1"/>
    <col min="1034" max="1034" width="10.8984375" style="1343" customWidth="1"/>
    <col min="1035" max="1280" width="8.796875" style="1343"/>
    <col min="1281" max="1282" width="9.796875" style="1343" customWidth="1"/>
    <col min="1283" max="1283" width="5.5" style="1343" customWidth="1"/>
    <col min="1284" max="1284" width="10.8984375" style="1343" customWidth="1"/>
    <col min="1285" max="1285" width="5.5" style="1343" customWidth="1"/>
    <col min="1286" max="1286" width="10.8984375" style="1343" customWidth="1"/>
    <col min="1287" max="1287" width="5.5" style="1343" customWidth="1"/>
    <col min="1288" max="1288" width="10.8984375" style="1343" customWidth="1"/>
    <col min="1289" max="1289" width="5.5" style="1343" customWidth="1"/>
    <col min="1290" max="1290" width="10.8984375" style="1343" customWidth="1"/>
    <col min="1291" max="1536" width="8.796875" style="1343"/>
    <col min="1537" max="1538" width="9.796875" style="1343" customWidth="1"/>
    <col min="1539" max="1539" width="5.5" style="1343" customWidth="1"/>
    <col min="1540" max="1540" width="10.8984375" style="1343" customWidth="1"/>
    <col min="1541" max="1541" width="5.5" style="1343" customWidth="1"/>
    <col min="1542" max="1542" width="10.8984375" style="1343" customWidth="1"/>
    <col min="1543" max="1543" width="5.5" style="1343" customWidth="1"/>
    <col min="1544" max="1544" width="10.8984375" style="1343" customWidth="1"/>
    <col min="1545" max="1545" width="5.5" style="1343" customWidth="1"/>
    <col min="1546" max="1546" width="10.8984375" style="1343" customWidth="1"/>
    <col min="1547" max="1792" width="8.796875" style="1343"/>
    <col min="1793" max="1794" width="9.796875" style="1343" customWidth="1"/>
    <col min="1795" max="1795" width="5.5" style="1343" customWidth="1"/>
    <col min="1796" max="1796" width="10.8984375" style="1343" customWidth="1"/>
    <col min="1797" max="1797" width="5.5" style="1343" customWidth="1"/>
    <col min="1798" max="1798" width="10.8984375" style="1343" customWidth="1"/>
    <col min="1799" max="1799" width="5.5" style="1343" customWidth="1"/>
    <col min="1800" max="1800" width="10.8984375" style="1343" customWidth="1"/>
    <col min="1801" max="1801" width="5.5" style="1343" customWidth="1"/>
    <col min="1802" max="1802" width="10.8984375" style="1343" customWidth="1"/>
    <col min="1803" max="2048" width="8.796875" style="1343"/>
    <col min="2049" max="2050" width="9.796875" style="1343" customWidth="1"/>
    <col min="2051" max="2051" width="5.5" style="1343" customWidth="1"/>
    <col min="2052" max="2052" width="10.8984375" style="1343" customWidth="1"/>
    <col min="2053" max="2053" width="5.5" style="1343" customWidth="1"/>
    <col min="2054" max="2054" width="10.8984375" style="1343" customWidth="1"/>
    <col min="2055" max="2055" width="5.5" style="1343" customWidth="1"/>
    <col min="2056" max="2056" width="10.8984375" style="1343" customWidth="1"/>
    <col min="2057" max="2057" width="5.5" style="1343" customWidth="1"/>
    <col min="2058" max="2058" width="10.8984375" style="1343" customWidth="1"/>
    <col min="2059" max="2304" width="8.796875" style="1343"/>
    <col min="2305" max="2306" width="9.796875" style="1343" customWidth="1"/>
    <col min="2307" max="2307" width="5.5" style="1343" customWidth="1"/>
    <col min="2308" max="2308" width="10.8984375" style="1343" customWidth="1"/>
    <col min="2309" max="2309" width="5.5" style="1343" customWidth="1"/>
    <col min="2310" max="2310" width="10.8984375" style="1343" customWidth="1"/>
    <col min="2311" max="2311" width="5.5" style="1343" customWidth="1"/>
    <col min="2312" max="2312" width="10.8984375" style="1343" customWidth="1"/>
    <col min="2313" max="2313" width="5.5" style="1343" customWidth="1"/>
    <col min="2314" max="2314" width="10.8984375" style="1343" customWidth="1"/>
    <col min="2315" max="2560" width="8.796875" style="1343"/>
    <col min="2561" max="2562" width="9.796875" style="1343" customWidth="1"/>
    <col min="2563" max="2563" width="5.5" style="1343" customWidth="1"/>
    <col min="2564" max="2564" width="10.8984375" style="1343" customWidth="1"/>
    <col min="2565" max="2565" width="5.5" style="1343" customWidth="1"/>
    <col min="2566" max="2566" width="10.8984375" style="1343" customWidth="1"/>
    <col min="2567" max="2567" width="5.5" style="1343" customWidth="1"/>
    <col min="2568" max="2568" width="10.8984375" style="1343" customWidth="1"/>
    <col min="2569" max="2569" width="5.5" style="1343" customWidth="1"/>
    <col min="2570" max="2570" width="10.8984375" style="1343" customWidth="1"/>
    <col min="2571" max="2816" width="8.796875" style="1343"/>
    <col min="2817" max="2818" width="9.796875" style="1343" customWidth="1"/>
    <col min="2819" max="2819" width="5.5" style="1343" customWidth="1"/>
    <col min="2820" max="2820" width="10.8984375" style="1343" customWidth="1"/>
    <col min="2821" max="2821" width="5.5" style="1343" customWidth="1"/>
    <col min="2822" max="2822" width="10.8984375" style="1343" customWidth="1"/>
    <col min="2823" max="2823" width="5.5" style="1343" customWidth="1"/>
    <col min="2824" max="2824" width="10.8984375" style="1343" customWidth="1"/>
    <col min="2825" max="2825" width="5.5" style="1343" customWidth="1"/>
    <col min="2826" max="2826" width="10.8984375" style="1343" customWidth="1"/>
    <col min="2827" max="3072" width="8.796875" style="1343"/>
    <col min="3073" max="3074" width="9.796875" style="1343" customWidth="1"/>
    <col min="3075" max="3075" width="5.5" style="1343" customWidth="1"/>
    <col min="3076" max="3076" width="10.8984375" style="1343" customWidth="1"/>
    <col min="3077" max="3077" width="5.5" style="1343" customWidth="1"/>
    <col min="3078" max="3078" width="10.8984375" style="1343" customWidth="1"/>
    <col min="3079" max="3079" width="5.5" style="1343" customWidth="1"/>
    <col min="3080" max="3080" width="10.8984375" style="1343" customWidth="1"/>
    <col min="3081" max="3081" width="5.5" style="1343" customWidth="1"/>
    <col min="3082" max="3082" width="10.8984375" style="1343" customWidth="1"/>
    <col min="3083" max="3328" width="8.796875" style="1343"/>
    <col min="3329" max="3330" width="9.796875" style="1343" customWidth="1"/>
    <col min="3331" max="3331" width="5.5" style="1343" customWidth="1"/>
    <col min="3332" max="3332" width="10.8984375" style="1343" customWidth="1"/>
    <col min="3333" max="3333" width="5.5" style="1343" customWidth="1"/>
    <col min="3334" max="3334" width="10.8984375" style="1343" customWidth="1"/>
    <col min="3335" max="3335" width="5.5" style="1343" customWidth="1"/>
    <col min="3336" max="3336" width="10.8984375" style="1343" customWidth="1"/>
    <col min="3337" max="3337" width="5.5" style="1343" customWidth="1"/>
    <col min="3338" max="3338" width="10.8984375" style="1343" customWidth="1"/>
    <col min="3339" max="3584" width="8.796875" style="1343"/>
    <col min="3585" max="3586" width="9.796875" style="1343" customWidth="1"/>
    <col min="3587" max="3587" width="5.5" style="1343" customWidth="1"/>
    <col min="3588" max="3588" width="10.8984375" style="1343" customWidth="1"/>
    <col min="3589" max="3589" width="5.5" style="1343" customWidth="1"/>
    <col min="3590" max="3590" width="10.8984375" style="1343" customWidth="1"/>
    <col min="3591" max="3591" width="5.5" style="1343" customWidth="1"/>
    <col min="3592" max="3592" width="10.8984375" style="1343" customWidth="1"/>
    <col min="3593" max="3593" width="5.5" style="1343" customWidth="1"/>
    <col min="3594" max="3594" width="10.8984375" style="1343" customWidth="1"/>
    <col min="3595" max="3840" width="8.796875" style="1343"/>
    <col min="3841" max="3842" width="9.796875" style="1343" customWidth="1"/>
    <col min="3843" max="3843" width="5.5" style="1343" customWidth="1"/>
    <col min="3844" max="3844" width="10.8984375" style="1343" customWidth="1"/>
    <col min="3845" max="3845" width="5.5" style="1343" customWidth="1"/>
    <col min="3846" max="3846" width="10.8984375" style="1343" customWidth="1"/>
    <col min="3847" max="3847" width="5.5" style="1343" customWidth="1"/>
    <col min="3848" max="3848" width="10.8984375" style="1343" customWidth="1"/>
    <col min="3849" max="3849" width="5.5" style="1343" customWidth="1"/>
    <col min="3850" max="3850" width="10.8984375" style="1343" customWidth="1"/>
    <col min="3851" max="4096" width="8.796875" style="1343"/>
    <col min="4097" max="4098" width="9.796875" style="1343" customWidth="1"/>
    <col min="4099" max="4099" width="5.5" style="1343" customWidth="1"/>
    <col min="4100" max="4100" width="10.8984375" style="1343" customWidth="1"/>
    <col min="4101" max="4101" width="5.5" style="1343" customWidth="1"/>
    <col min="4102" max="4102" width="10.8984375" style="1343" customWidth="1"/>
    <col min="4103" max="4103" width="5.5" style="1343" customWidth="1"/>
    <col min="4104" max="4104" width="10.8984375" style="1343" customWidth="1"/>
    <col min="4105" max="4105" width="5.5" style="1343" customWidth="1"/>
    <col min="4106" max="4106" width="10.8984375" style="1343" customWidth="1"/>
    <col min="4107" max="4352" width="8.796875" style="1343"/>
    <col min="4353" max="4354" width="9.796875" style="1343" customWidth="1"/>
    <col min="4355" max="4355" width="5.5" style="1343" customWidth="1"/>
    <col min="4356" max="4356" width="10.8984375" style="1343" customWidth="1"/>
    <col min="4357" max="4357" width="5.5" style="1343" customWidth="1"/>
    <col min="4358" max="4358" width="10.8984375" style="1343" customWidth="1"/>
    <col min="4359" max="4359" width="5.5" style="1343" customWidth="1"/>
    <col min="4360" max="4360" width="10.8984375" style="1343" customWidth="1"/>
    <col min="4361" max="4361" width="5.5" style="1343" customWidth="1"/>
    <col min="4362" max="4362" width="10.8984375" style="1343" customWidth="1"/>
    <col min="4363" max="4608" width="8.796875" style="1343"/>
    <col min="4609" max="4610" width="9.796875" style="1343" customWidth="1"/>
    <col min="4611" max="4611" width="5.5" style="1343" customWidth="1"/>
    <col min="4612" max="4612" width="10.8984375" style="1343" customWidth="1"/>
    <col min="4613" max="4613" width="5.5" style="1343" customWidth="1"/>
    <col min="4614" max="4614" width="10.8984375" style="1343" customWidth="1"/>
    <col min="4615" max="4615" width="5.5" style="1343" customWidth="1"/>
    <col min="4616" max="4616" width="10.8984375" style="1343" customWidth="1"/>
    <col min="4617" max="4617" width="5.5" style="1343" customWidth="1"/>
    <col min="4618" max="4618" width="10.8984375" style="1343" customWidth="1"/>
    <col min="4619" max="4864" width="8.796875" style="1343"/>
    <col min="4865" max="4866" width="9.796875" style="1343" customWidth="1"/>
    <col min="4867" max="4867" width="5.5" style="1343" customWidth="1"/>
    <col min="4868" max="4868" width="10.8984375" style="1343" customWidth="1"/>
    <col min="4869" max="4869" width="5.5" style="1343" customWidth="1"/>
    <col min="4870" max="4870" width="10.8984375" style="1343" customWidth="1"/>
    <col min="4871" max="4871" width="5.5" style="1343" customWidth="1"/>
    <col min="4872" max="4872" width="10.8984375" style="1343" customWidth="1"/>
    <col min="4873" max="4873" width="5.5" style="1343" customWidth="1"/>
    <col min="4874" max="4874" width="10.8984375" style="1343" customWidth="1"/>
    <col min="4875" max="5120" width="8.796875" style="1343"/>
    <col min="5121" max="5122" width="9.796875" style="1343" customWidth="1"/>
    <col min="5123" max="5123" width="5.5" style="1343" customWidth="1"/>
    <col min="5124" max="5124" width="10.8984375" style="1343" customWidth="1"/>
    <col min="5125" max="5125" width="5.5" style="1343" customWidth="1"/>
    <col min="5126" max="5126" width="10.8984375" style="1343" customWidth="1"/>
    <col min="5127" max="5127" width="5.5" style="1343" customWidth="1"/>
    <col min="5128" max="5128" width="10.8984375" style="1343" customWidth="1"/>
    <col min="5129" max="5129" width="5.5" style="1343" customWidth="1"/>
    <col min="5130" max="5130" width="10.8984375" style="1343" customWidth="1"/>
    <col min="5131" max="5376" width="8.796875" style="1343"/>
    <col min="5377" max="5378" width="9.796875" style="1343" customWidth="1"/>
    <col min="5379" max="5379" width="5.5" style="1343" customWidth="1"/>
    <col min="5380" max="5380" width="10.8984375" style="1343" customWidth="1"/>
    <col min="5381" max="5381" width="5.5" style="1343" customWidth="1"/>
    <col min="5382" max="5382" width="10.8984375" style="1343" customWidth="1"/>
    <col min="5383" max="5383" width="5.5" style="1343" customWidth="1"/>
    <col min="5384" max="5384" width="10.8984375" style="1343" customWidth="1"/>
    <col min="5385" max="5385" width="5.5" style="1343" customWidth="1"/>
    <col min="5386" max="5386" width="10.8984375" style="1343" customWidth="1"/>
    <col min="5387" max="5632" width="8.796875" style="1343"/>
    <col min="5633" max="5634" width="9.796875" style="1343" customWidth="1"/>
    <col min="5635" max="5635" width="5.5" style="1343" customWidth="1"/>
    <col min="5636" max="5636" width="10.8984375" style="1343" customWidth="1"/>
    <col min="5637" max="5637" width="5.5" style="1343" customWidth="1"/>
    <col min="5638" max="5638" width="10.8984375" style="1343" customWidth="1"/>
    <col min="5639" max="5639" width="5.5" style="1343" customWidth="1"/>
    <col min="5640" max="5640" width="10.8984375" style="1343" customWidth="1"/>
    <col min="5641" max="5641" width="5.5" style="1343" customWidth="1"/>
    <col min="5642" max="5642" width="10.8984375" style="1343" customWidth="1"/>
    <col min="5643" max="5888" width="8.796875" style="1343"/>
    <col min="5889" max="5890" width="9.796875" style="1343" customWidth="1"/>
    <col min="5891" max="5891" width="5.5" style="1343" customWidth="1"/>
    <col min="5892" max="5892" width="10.8984375" style="1343" customWidth="1"/>
    <col min="5893" max="5893" width="5.5" style="1343" customWidth="1"/>
    <col min="5894" max="5894" width="10.8984375" style="1343" customWidth="1"/>
    <col min="5895" max="5895" width="5.5" style="1343" customWidth="1"/>
    <col min="5896" max="5896" width="10.8984375" style="1343" customWidth="1"/>
    <col min="5897" max="5897" width="5.5" style="1343" customWidth="1"/>
    <col min="5898" max="5898" width="10.8984375" style="1343" customWidth="1"/>
    <col min="5899" max="6144" width="8.796875" style="1343"/>
    <col min="6145" max="6146" width="9.796875" style="1343" customWidth="1"/>
    <col min="6147" max="6147" width="5.5" style="1343" customWidth="1"/>
    <col min="6148" max="6148" width="10.8984375" style="1343" customWidth="1"/>
    <col min="6149" max="6149" width="5.5" style="1343" customWidth="1"/>
    <col min="6150" max="6150" width="10.8984375" style="1343" customWidth="1"/>
    <col min="6151" max="6151" width="5.5" style="1343" customWidth="1"/>
    <col min="6152" max="6152" width="10.8984375" style="1343" customWidth="1"/>
    <col min="6153" max="6153" width="5.5" style="1343" customWidth="1"/>
    <col min="6154" max="6154" width="10.8984375" style="1343" customWidth="1"/>
    <col min="6155" max="6400" width="8.796875" style="1343"/>
    <col min="6401" max="6402" width="9.796875" style="1343" customWidth="1"/>
    <col min="6403" max="6403" width="5.5" style="1343" customWidth="1"/>
    <col min="6404" max="6404" width="10.8984375" style="1343" customWidth="1"/>
    <col min="6405" max="6405" width="5.5" style="1343" customWidth="1"/>
    <col min="6406" max="6406" width="10.8984375" style="1343" customWidth="1"/>
    <col min="6407" max="6407" width="5.5" style="1343" customWidth="1"/>
    <col min="6408" max="6408" width="10.8984375" style="1343" customWidth="1"/>
    <col min="6409" max="6409" width="5.5" style="1343" customWidth="1"/>
    <col min="6410" max="6410" width="10.8984375" style="1343" customWidth="1"/>
    <col min="6411" max="6656" width="8.796875" style="1343"/>
    <col min="6657" max="6658" width="9.796875" style="1343" customWidth="1"/>
    <col min="6659" max="6659" width="5.5" style="1343" customWidth="1"/>
    <col min="6660" max="6660" width="10.8984375" style="1343" customWidth="1"/>
    <col min="6661" max="6661" width="5.5" style="1343" customWidth="1"/>
    <col min="6662" max="6662" width="10.8984375" style="1343" customWidth="1"/>
    <col min="6663" max="6663" width="5.5" style="1343" customWidth="1"/>
    <col min="6664" max="6664" width="10.8984375" style="1343" customWidth="1"/>
    <col min="6665" max="6665" width="5.5" style="1343" customWidth="1"/>
    <col min="6666" max="6666" width="10.8984375" style="1343" customWidth="1"/>
    <col min="6667" max="6912" width="8.796875" style="1343"/>
    <col min="6913" max="6914" width="9.796875" style="1343" customWidth="1"/>
    <col min="6915" max="6915" width="5.5" style="1343" customWidth="1"/>
    <col min="6916" max="6916" width="10.8984375" style="1343" customWidth="1"/>
    <col min="6917" max="6917" width="5.5" style="1343" customWidth="1"/>
    <col min="6918" max="6918" width="10.8984375" style="1343" customWidth="1"/>
    <col min="6919" max="6919" width="5.5" style="1343" customWidth="1"/>
    <col min="6920" max="6920" width="10.8984375" style="1343" customWidth="1"/>
    <col min="6921" max="6921" width="5.5" style="1343" customWidth="1"/>
    <col min="6922" max="6922" width="10.8984375" style="1343" customWidth="1"/>
    <col min="6923" max="7168" width="8.796875" style="1343"/>
    <col min="7169" max="7170" width="9.796875" style="1343" customWidth="1"/>
    <col min="7171" max="7171" width="5.5" style="1343" customWidth="1"/>
    <col min="7172" max="7172" width="10.8984375" style="1343" customWidth="1"/>
    <col min="7173" max="7173" width="5.5" style="1343" customWidth="1"/>
    <col min="7174" max="7174" width="10.8984375" style="1343" customWidth="1"/>
    <col min="7175" max="7175" width="5.5" style="1343" customWidth="1"/>
    <col min="7176" max="7176" width="10.8984375" style="1343" customWidth="1"/>
    <col min="7177" max="7177" width="5.5" style="1343" customWidth="1"/>
    <col min="7178" max="7178" width="10.8984375" style="1343" customWidth="1"/>
    <col min="7179" max="7424" width="8.796875" style="1343"/>
    <col min="7425" max="7426" width="9.796875" style="1343" customWidth="1"/>
    <col min="7427" max="7427" width="5.5" style="1343" customWidth="1"/>
    <col min="7428" max="7428" width="10.8984375" style="1343" customWidth="1"/>
    <col min="7429" max="7429" width="5.5" style="1343" customWidth="1"/>
    <col min="7430" max="7430" width="10.8984375" style="1343" customWidth="1"/>
    <col min="7431" max="7431" width="5.5" style="1343" customWidth="1"/>
    <col min="7432" max="7432" width="10.8984375" style="1343" customWidth="1"/>
    <col min="7433" max="7433" width="5.5" style="1343" customWidth="1"/>
    <col min="7434" max="7434" width="10.8984375" style="1343" customWidth="1"/>
    <col min="7435" max="7680" width="8.796875" style="1343"/>
    <col min="7681" max="7682" width="9.796875" style="1343" customWidth="1"/>
    <col min="7683" max="7683" width="5.5" style="1343" customWidth="1"/>
    <col min="7684" max="7684" width="10.8984375" style="1343" customWidth="1"/>
    <col min="7685" max="7685" width="5.5" style="1343" customWidth="1"/>
    <col min="7686" max="7686" width="10.8984375" style="1343" customWidth="1"/>
    <col min="7687" max="7687" width="5.5" style="1343" customWidth="1"/>
    <col min="7688" max="7688" width="10.8984375" style="1343" customWidth="1"/>
    <col min="7689" max="7689" width="5.5" style="1343" customWidth="1"/>
    <col min="7690" max="7690" width="10.8984375" style="1343" customWidth="1"/>
    <col min="7691" max="7936" width="8.796875" style="1343"/>
    <col min="7937" max="7938" width="9.796875" style="1343" customWidth="1"/>
    <col min="7939" max="7939" width="5.5" style="1343" customWidth="1"/>
    <col min="7940" max="7940" width="10.8984375" style="1343" customWidth="1"/>
    <col min="7941" max="7941" width="5.5" style="1343" customWidth="1"/>
    <col min="7942" max="7942" width="10.8984375" style="1343" customWidth="1"/>
    <col min="7943" max="7943" width="5.5" style="1343" customWidth="1"/>
    <col min="7944" max="7944" width="10.8984375" style="1343" customWidth="1"/>
    <col min="7945" max="7945" width="5.5" style="1343" customWidth="1"/>
    <col min="7946" max="7946" width="10.8984375" style="1343" customWidth="1"/>
    <col min="7947" max="8192" width="8.796875" style="1343"/>
    <col min="8193" max="8194" width="9.796875" style="1343" customWidth="1"/>
    <col min="8195" max="8195" width="5.5" style="1343" customWidth="1"/>
    <col min="8196" max="8196" width="10.8984375" style="1343" customWidth="1"/>
    <col min="8197" max="8197" width="5.5" style="1343" customWidth="1"/>
    <col min="8198" max="8198" width="10.8984375" style="1343" customWidth="1"/>
    <col min="8199" max="8199" width="5.5" style="1343" customWidth="1"/>
    <col min="8200" max="8200" width="10.8984375" style="1343" customWidth="1"/>
    <col min="8201" max="8201" width="5.5" style="1343" customWidth="1"/>
    <col min="8202" max="8202" width="10.8984375" style="1343" customWidth="1"/>
    <col min="8203" max="8448" width="8.796875" style="1343"/>
    <col min="8449" max="8450" width="9.796875" style="1343" customWidth="1"/>
    <col min="8451" max="8451" width="5.5" style="1343" customWidth="1"/>
    <col min="8452" max="8452" width="10.8984375" style="1343" customWidth="1"/>
    <col min="8453" max="8453" width="5.5" style="1343" customWidth="1"/>
    <col min="8454" max="8454" width="10.8984375" style="1343" customWidth="1"/>
    <col min="8455" max="8455" width="5.5" style="1343" customWidth="1"/>
    <col min="8456" max="8456" width="10.8984375" style="1343" customWidth="1"/>
    <col min="8457" max="8457" width="5.5" style="1343" customWidth="1"/>
    <col min="8458" max="8458" width="10.8984375" style="1343" customWidth="1"/>
    <col min="8459" max="8704" width="8.796875" style="1343"/>
    <col min="8705" max="8706" width="9.796875" style="1343" customWidth="1"/>
    <col min="8707" max="8707" width="5.5" style="1343" customWidth="1"/>
    <col min="8708" max="8708" width="10.8984375" style="1343" customWidth="1"/>
    <col min="8709" max="8709" width="5.5" style="1343" customWidth="1"/>
    <col min="8710" max="8710" width="10.8984375" style="1343" customWidth="1"/>
    <col min="8711" max="8711" width="5.5" style="1343" customWidth="1"/>
    <col min="8712" max="8712" width="10.8984375" style="1343" customWidth="1"/>
    <col min="8713" max="8713" width="5.5" style="1343" customWidth="1"/>
    <col min="8714" max="8714" width="10.8984375" style="1343" customWidth="1"/>
    <col min="8715" max="8960" width="8.796875" style="1343"/>
    <col min="8961" max="8962" width="9.796875" style="1343" customWidth="1"/>
    <col min="8963" max="8963" width="5.5" style="1343" customWidth="1"/>
    <col min="8964" max="8964" width="10.8984375" style="1343" customWidth="1"/>
    <col min="8965" max="8965" width="5.5" style="1343" customWidth="1"/>
    <col min="8966" max="8966" width="10.8984375" style="1343" customWidth="1"/>
    <col min="8967" max="8967" width="5.5" style="1343" customWidth="1"/>
    <col min="8968" max="8968" width="10.8984375" style="1343" customWidth="1"/>
    <col min="8969" max="8969" width="5.5" style="1343" customWidth="1"/>
    <col min="8970" max="8970" width="10.8984375" style="1343" customWidth="1"/>
    <col min="8971" max="9216" width="8.796875" style="1343"/>
    <col min="9217" max="9218" width="9.796875" style="1343" customWidth="1"/>
    <col min="9219" max="9219" width="5.5" style="1343" customWidth="1"/>
    <col min="9220" max="9220" width="10.8984375" style="1343" customWidth="1"/>
    <col min="9221" max="9221" width="5.5" style="1343" customWidth="1"/>
    <col min="9222" max="9222" width="10.8984375" style="1343" customWidth="1"/>
    <col min="9223" max="9223" width="5.5" style="1343" customWidth="1"/>
    <col min="9224" max="9224" width="10.8984375" style="1343" customWidth="1"/>
    <col min="9225" max="9225" width="5.5" style="1343" customWidth="1"/>
    <col min="9226" max="9226" width="10.8984375" style="1343" customWidth="1"/>
    <col min="9227" max="9472" width="8.796875" style="1343"/>
    <col min="9473" max="9474" width="9.796875" style="1343" customWidth="1"/>
    <col min="9475" max="9475" width="5.5" style="1343" customWidth="1"/>
    <col min="9476" max="9476" width="10.8984375" style="1343" customWidth="1"/>
    <col min="9477" max="9477" width="5.5" style="1343" customWidth="1"/>
    <col min="9478" max="9478" width="10.8984375" style="1343" customWidth="1"/>
    <col min="9479" max="9479" width="5.5" style="1343" customWidth="1"/>
    <col min="9480" max="9480" width="10.8984375" style="1343" customWidth="1"/>
    <col min="9481" max="9481" width="5.5" style="1343" customWidth="1"/>
    <col min="9482" max="9482" width="10.8984375" style="1343" customWidth="1"/>
    <col min="9483" max="9728" width="8.796875" style="1343"/>
    <col min="9729" max="9730" width="9.796875" style="1343" customWidth="1"/>
    <col min="9731" max="9731" width="5.5" style="1343" customWidth="1"/>
    <col min="9732" max="9732" width="10.8984375" style="1343" customWidth="1"/>
    <col min="9733" max="9733" width="5.5" style="1343" customWidth="1"/>
    <col min="9734" max="9734" width="10.8984375" style="1343" customWidth="1"/>
    <col min="9735" max="9735" width="5.5" style="1343" customWidth="1"/>
    <col min="9736" max="9736" width="10.8984375" style="1343" customWidth="1"/>
    <col min="9737" max="9737" width="5.5" style="1343" customWidth="1"/>
    <col min="9738" max="9738" width="10.8984375" style="1343" customWidth="1"/>
    <col min="9739" max="9984" width="8.796875" style="1343"/>
    <col min="9985" max="9986" width="9.796875" style="1343" customWidth="1"/>
    <col min="9987" max="9987" width="5.5" style="1343" customWidth="1"/>
    <col min="9988" max="9988" width="10.8984375" style="1343" customWidth="1"/>
    <col min="9989" max="9989" width="5.5" style="1343" customWidth="1"/>
    <col min="9990" max="9990" width="10.8984375" style="1343" customWidth="1"/>
    <col min="9991" max="9991" width="5.5" style="1343" customWidth="1"/>
    <col min="9992" max="9992" width="10.8984375" style="1343" customWidth="1"/>
    <col min="9993" max="9993" width="5.5" style="1343" customWidth="1"/>
    <col min="9994" max="9994" width="10.8984375" style="1343" customWidth="1"/>
    <col min="9995" max="10240" width="8.796875" style="1343"/>
    <col min="10241" max="10242" width="9.796875" style="1343" customWidth="1"/>
    <col min="10243" max="10243" width="5.5" style="1343" customWidth="1"/>
    <col min="10244" max="10244" width="10.8984375" style="1343" customWidth="1"/>
    <col min="10245" max="10245" width="5.5" style="1343" customWidth="1"/>
    <col min="10246" max="10246" width="10.8984375" style="1343" customWidth="1"/>
    <col min="10247" max="10247" width="5.5" style="1343" customWidth="1"/>
    <col min="10248" max="10248" width="10.8984375" style="1343" customWidth="1"/>
    <col min="10249" max="10249" width="5.5" style="1343" customWidth="1"/>
    <col min="10250" max="10250" width="10.8984375" style="1343" customWidth="1"/>
    <col min="10251" max="10496" width="8.796875" style="1343"/>
    <col min="10497" max="10498" width="9.796875" style="1343" customWidth="1"/>
    <col min="10499" max="10499" width="5.5" style="1343" customWidth="1"/>
    <col min="10500" max="10500" width="10.8984375" style="1343" customWidth="1"/>
    <col min="10501" max="10501" width="5.5" style="1343" customWidth="1"/>
    <col min="10502" max="10502" width="10.8984375" style="1343" customWidth="1"/>
    <col min="10503" max="10503" width="5.5" style="1343" customWidth="1"/>
    <col min="10504" max="10504" width="10.8984375" style="1343" customWidth="1"/>
    <col min="10505" max="10505" width="5.5" style="1343" customWidth="1"/>
    <col min="10506" max="10506" width="10.8984375" style="1343" customWidth="1"/>
    <col min="10507" max="10752" width="8.796875" style="1343"/>
    <col min="10753" max="10754" width="9.796875" style="1343" customWidth="1"/>
    <col min="10755" max="10755" width="5.5" style="1343" customWidth="1"/>
    <col min="10756" max="10756" width="10.8984375" style="1343" customWidth="1"/>
    <col min="10757" max="10757" width="5.5" style="1343" customWidth="1"/>
    <col min="10758" max="10758" width="10.8984375" style="1343" customWidth="1"/>
    <col min="10759" max="10759" width="5.5" style="1343" customWidth="1"/>
    <col min="10760" max="10760" width="10.8984375" style="1343" customWidth="1"/>
    <col min="10761" max="10761" width="5.5" style="1343" customWidth="1"/>
    <col min="10762" max="10762" width="10.8984375" style="1343" customWidth="1"/>
    <col min="10763" max="11008" width="8.796875" style="1343"/>
    <col min="11009" max="11010" width="9.796875" style="1343" customWidth="1"/>
    <col min="11011" max="11011" width="5.5" style="1343" customWidth="1"/>
    <col min="11012" max="11012" width="10.8984375" style="1343" customWidth="1"/>
    <col min="11013" max="11013" width="5.5" style="1343" customWidth="1"/>
    <col min="11014" max="11014" width="10.8984375" style="1343" customWidth="1"/>
    <col min="11015" max="11015" width="5.5" style="1343" customWidth="1"/>
    <col min="11016" max="11016" width="10.8984375" style="1343" customWidth="1"/>
    <col min="11017" max="11017" width="5.5" style="1343" customWidth="1"/>
    <col min="11018" max="11018" width="10.8984375" style="1343" customWidth="1"/>
    <col min="11019" max="11264" width="8.796875" style="1343"/>
    <col min="11265" max="11266" width="9.796875" style="1343" customWidth="1"/>
    <col min="11267" max="11267" width="5.5" style="1343" customWidth="1"/>
    <col min="11268" max="11268" width="10.8984375" style="1343" customWidth="1"/>
    <col min="11269" max="11269" width="5.5" style="1343" customWidth="1"/>
    <col min="11270" max="11270" width="10.8984375" style="1343" customWidth="1"/>
    <col min="11271" max="11271" width="5.5" style="1343" customWidth="1"/>
    <col min="11272" max="11272" width="10.8984375" style="1343" customWidth="1"/>
    <col min="11273" max="11273" width="5.5" style="1343" customWidth="1"/>
    <col min="11274" max="11274" width="10.8984375" style="1343" customWidth="1"/>
    <col min="11275" max="11520" width="8.796875" style="1343"/>
    <col min="11521" max="11522" width="9.796875" style="1343" customWidth="1"/>
    <col min="11523" max="11523" width="5.5" style="1343" customWidth="1"/>
    <col min="11524" max="11524" width="10.8984375" style="1343" customWidth="1"/>
    <col min="11525" max="11525" width="5.5" style="1343" customWidth="1"/>
    <col min="11526" max="11526" width="10.8984375" style="1343" customWidth="1"/>
    <col min="11527" max="11527" width="5.5" style="1343" customWidth="1"/>
    <col min="11528" max="11528" width="10.8984375" style="1343" customWidth="1"/>
    <col min="11529" max="11529" width="5.5" style="1343" customWidth="1"/>
    <col min="11530" max="11530" width="10.8984375" style="1343" customWidth="1"/>
    <col min="11531" max="11776" width="8.796875" style="1343"/>
    <col min="11777" max="11778" width="9.796875" style="1343" customWidth="1"/>
    <col min="11779" max="11779" width="5.5" style="1343" customWidth="1"/>
    <col min="11780" max="11780" width="10.8984375" style="1343" customWidth="1"/>
    <col min="11781" max="11781" width="5.5" style="1343" customWidth="1"/>
    <col min="11782" max="11782" width="10.8984375" style="1343" customWidth="1"/>
    <col min="11783" max="11783" width="5.5" style="1343" customWidth="1"/>
    <col min="11784" max="11784" width="10.8984375" style="1343" customWidth="1"/>
    <col min="11785" max="11785" width="5.5" style="1343" customWidth="1"/>
    <col min="11786" max="11786" width="10.8984375" style="1343" customWidth="1"/>
    <col min="11787" max="12032" width="8.796875" style="1343"/>
    <col min="12033" max="12034" width="9.796875" style="1343" customWidth="1"/>
    <col min="12035" max="12035" width="5.5" style="1343" customWidth="1"/>
    <col min="12036" max="12036" width="10.8984375" style="1343" customWidth="1"/>
    <col min="12037" max="12037" width="5.5" style="1343" customWidth="1"/>
    <col min="12038" max="12038" width="10.8984375" style="1343" customWidth="1"/>
    <col min="12039" max="12039" width="5.5" style="1343" customWidth="1"/>
    <col min="12040" max="12040" width="10.8984375" style="1343" customWidth="1"/>
    <col min="12041" max="12041" width="5.5" style="1343" customWidth="1"/>
    <col min="12042" max="12042" width="10.8984375" style="1343" customWidth="1"/>
    <col min="12043" max="12288" width="8.796875" style="1343"/>
    <col min="12289" max="12290" width="9.796875" style="1343" customWidth="1"/>
    <col min="12291" max="12291" width="5.5" style="1343" customWidth="1"/>
    <col min="12292" max="12292" width="10.8984375" style="1343" customWidth="1"/>
    <col min="12293" max="12293" width="5.5" style="1343" customWidth="1"/>
    <col min="12294" max="12294" width="10.8984375" style="1343" customWidth="1"/>
    <col min="12295" max="12295" width="5.5" style="1343" customWidth="1"/>
    <col min="12296" max="12296" width="10.8984375" style="1343" customWidth="1"/>
    <col min="12297" max="12297" width="5.5" style="1343" customWidth="1"/>
    <col min="12298" max="12298" width="10.8984375" style="1343" customWidth="1"/>
    <col min="12299" max="12544" width="8.796875" style="1343"/>
    <col min="12545" max="12546" width="9.796875" style="1343" customWidth="1"/>
    <col min="12547" max="12547" width="5.5" style="1343" customWidth="1"/>
    <col min="12548" max="12548" width="10.8984375" style="1343" customWidth="1"/>
    <col min="12549" max="12549" width="5.5" style="1343" customWidth="1"/>
    <col min="12550" max="12550" width="10.8984375" style="1343" customWidth="1"/>
    <col min="12551" max="12551" width="5.5" style="1343" customWidth="1"/>
    <col min="12552" max="12552" width="10.8984375" style="1343" customWidth="1"/>
    <col min="12553" max="12553" width="5.5" style="1343" customWidth="1"/>
    <col min="12554" max="12554" width="10.8984375" style="1343" customWidth="1"/>
    <col min="12555" max="12800" width="8.796875" style="1343"/>
    <col min="12801" max="12802" width="9.796875" style="1343" customWidth="1"/>
    <col min="12803" max="12803" width="5.5" style="1343" customWidth="1"/>
    <col min="12804" max="12804" width="10.8984375" style="1343" customWidth="1"/>
    <col min="12805" max="12805" width="5.5" style="1343" customWidth="1"/>
    <col min="12806" max="12806" width="10.8984375" style="1343" customWidth="1"/>
    <col min="12807" max="12807" width="5.5" style="1343" customWidth="1"/>
    <col min="12808" max="12808" width="10.8984375" style="1343" customWidth="1"/>
    <col min="12809" max="12809" width="5.5" style="1343" customWidth="1"/>
    <col min="12810" max="12810" width="10.8984375" style="1343" customWidth="1"/>
    <col min="12811" max="13056" width="8.796875" style="1343"/>
    <col min="13057" max="13058" width="9.796875" style="1343" customWidth="1"/>
    <col min="13059" max="13059" width="5.5" style="1343" customWidth="1"/>
    <col min="13060" max="13060" width="10.8984375" style="1343" customWidth="1"/>
    <col min="13061" max="13061" width="5.5" style="1343" customWidth="1"/>
    <col min="13062" max="13062" width="10.8984375" style="1343" customWidth="1"/>
    <col min="13063" max="13063" width="5.5" style="1343" customWidth="1"/>
    <col min="13064" max="13064" width="10.8984375" style="1343" customWidth="1"/>
    <col min="13065" max="13065" width="5.5" style="1343" customWidth="1"/>
    <col min="13066" max="13066" width="10.8984375" style="1343" customWidth="1"/>
    <col min="13067" max="13312" width="8.796875" style="1343"/>
    <col min="13313" max="13314" width="9.796875" style="1343" customWidth="1"/>
    <col min="13315" max="13315" width="5.5" style="1343" customWidth="1"/>
    <col min="13316" max="13316" width="10.8984375" style="1343" customWidth="1"/>
    <col min="13317" max="13317" width="5.5" style="1343" customWidth="1"/>
    <col min="13318" max="13318" width="10.8984375" style="1343" customWidth="1"/>
    <col min="13319" max="13319" width="5.5" style="1343" customWidth="1"/>
    <col min="13320" max="13320" width="10.8984375" style="1343" customWidth="1"/>
    <col min="13321" max="13321" width="5.5" style="1343" customWidth="1"/>
    <col min="13322" max="13322" width="10.8984375" style="1343" customWidth="1"/>
    <col min="13323" max="13568" width="8.796875" style="1343"/>
    <col min="13569" max="13570" width="9.796875" style="1343" customWidth="1"/>
    <col min="13571" max="13571" width="5.5" style="1343" customWidth="1"/>
    <col min="13572" max="13572" width="10.8984375" style="1343" customWidth="1"/>
    <col min="13573" max="13573" width="5.5" style="1343" customWidth="1"/>
    <col min="13574" max="13574" width="10.8984375" style="1343" customWidth="1"/>
    <col min="13575" max="13575" width="5.5" style="1343" customWidth="1"/>
    <col min="13576" max="13576" width="10.8984375" style="1343" customWidth="1"/>
    <col min="13577" max="13577" width="5.5" style="1343" customWidth="1"/>
    <col min="13578" max="13578" width="10.8984375" style="1343" customWidth="1"/>
    <col min="13579" max="13824" width="8.796875" style="1343"/>
    <col min="13825" max="13826" width="9.796875" style="1343" customWidth="1"/>
    <col min="13827" max="13827" width="5.5" style="1343" customWidth="1"/>
    <col min="13828" max="13828" width="10.8984375" style="1343" customWidth="1"/>
    <col min="13829" max="13829" width="5.5" style="1343" customWidth="1"/>
    <col min="13830" max="13830" width="10.8984375" style="1343" customWidth="1"/>
    <col min="13831" max="13831" width="5.5" style="1343" customWidth="1"/>
    <col min="13832" max="13832" width="10.8984375" style="1343" customWidth="1"/>
    <col min="13833" max="13833" width="5.5" style="1343" customWidth="1"/>
    <col min="13834" max="13834" width="10.8984375" style="1343" customWidth="1"/>
    <col min="13835" max="14080" width="8.796875" style="1343"/>
    <col min="14081" max="14082" width="9.796875" style="1343" customWidth="1"/>
    <col min="14083" max="14083" width="5.5" style="1343" customWidth="1"/>
    <col min="14084" max="14084" width="10.8984375" style="1343" customWidth="1"/>
    <col min="14085" max="14085" width="5.5" style="1343" customWidth="1"/>
    <col min="14086" max="14086" width="10.8984375" style="1343" customWidth="1"/>
    <col min="14087" max="14087" width="5.5" style="1343" customWidth="1"/>
    <col min="14088" max="14088" width="10.8984375" style="1343" customWidth="1"/>
    <col min="14089" max="14089" width="5.5" style="1343" customWidth="1"/>
    <col min="14090" max="14090" width="10.8984375" style="1343" customWidth="1"/>
    <col min="14091" max="14336" width="8.796875" style="1343"/>
    <col min="14337" max="14338" width="9.796875" style="1343" customWidth="1"/>
    <col min="14339" max="14339" width="5.5" style="1343" customWidth="1"/>
    <col min="14340" max="14340" width="10.8984375" style="1343" customWidth="1"/>
    <col min="14341" max="14341" width="5.5" style="1343" customWidth="1"/>
    <col min="14342" max="14342" width="10.8984375" style="1343" customWidth="1"/>
    <col min="14343" max="14343" width="5.5" style="1343" customWidth="1"/>
    <col min="14344" max="14344" width="10.8984375" style="1343" customWidth="1"/>
    <col min="14345" max="14345" width="5.5" style="1343" customWidth="1"/>
    <col min="14346" max="14346" width="10.8984375" style="1343" customWidth="1"/>
    <col min="14347" max="14592" width="8.796875" style="1343"/>
    <col min="14593" max="14594" width="9.796875" style="1343" customWidth="1"/>
    <col min="14595" max="14595" width="5.5" style="1343" customWidth="1"/>
    <col min="14596" max="14596" width="10.8984375" style="1343" customWidth="1"/>
    <col min="14597" max="14597" width="5.5" style="1343" customWidth="1"/>
    <col min="14598" max="14598" width="10.8984375" style="1343" customWidth="1"/>
    <col min="14599" max="14599" width="5.5" style="1343" customWidth="1"/>
    <col min="14600" max="14600" width="10.8984375" style="1343" customWidth="1"/>
    <col min="14601" max="14601" width="5.5" style="1343" customWidth="1"/>
    <col min="14602" max="14602" width="10.8984375" style="1343" customWidth="1"/>
    <col min="14603" max="14848" width="8.796875" style="1343"/>
    <col min="14849" max="14850" width="9.796875" style="1343" customWidth="1"/>
    <col min="14851" max="14851" width="5.5" style="1343" customWidth="1"/>
    <col min="14852" max="14852" width="10.8984375" style="1343" customWidth="1"/>
    <col min="14853" max="14853" width="5.5" style="1343" customWidth="1"/>
    <col min="14854" max="14854" width="10.8984375" style="1343" customWidth="1"/>
    <col min="14855" max="14855" width="5.5" style="1343" customWidth="1"/>
    <col min="14856" max="14856" width="10.8984375" style="1343" customWidth="1"/>
    <col min="14857" max="14857" width="5.5" style="1343" customWidth="1"/>
    <col min="14858" max="14858" width="10.8984375" style="1343" customWidth="1"/>
    <col min="14859" max="15104" width="8.796875" style="1343"/>
    <col min="15105" max="15106" width="9.796875" style="1343" customWidth="1"/>
    <col min="15107" max="15107" width="5.5" style="1343" customWidth="1"/>
    <col min="15108" max="15108" width="10.8984375" style="1343" customWidth="1"/>
    <col min="15109" max="15109" width="5.5" style="1343" customWidth="1"/>
    <col min="15110" max="15110" width="10.8984375" style="1343" customWidth="1"/>
    <col min="15111" max="15111" width="5.5" style="1343" customWidth="1"/>
    <col min="15112" max="15112" width="10.8984375" style="1343" customWidth="1"/>
    <col min="15113" max="15113" width="5.5" style="1343" customWidth="1"/>
    <col min="15114" max="15114" width="10.8984375" style="1343" customWidth="1"/>
    <col min="15115" max="15360" width="8.796875" style="1343"/>
    <col min="15361" max="15362" width="9.796875" style="1343" customWidth="1"/>
    <col min="15363" max="15363" width="5.5" style="1343" customWidth="1"/>
    <col min="15364" max="15364" width="10.8984375" style="1343" customWidth="1"/>
    <col min="15365" max="15365" width="5.5" style="1343" customWidth="1"/>
    <col min="15366" max="15366" width="10.8984375" style="1343" customWidth="1"/>
    <col min="15367" max="15367" width="5.5" style="1343" customWidth="1"/>
    <col min="15368" max="15368" width="10.8984375" style="1343" customWidth="1"/>
    <col min="15369" max="15369" width="5.5" style="1343" customWidth="1"/>
    <col min="15370" max="15370" width="10.8984375" style="1343" customWidth="1"/>
    <col min="15371" max="15616" width="8.796875" style="1343"/>
    <col min="15617" max="15618" width="9.796875" style="1343" customWidth="1"/>
    <col min="15619" max="15619" width="5.5" style="1343" customWidth="1"/>
    <col min="15620" max="15620" width="10.8984375" style="1343" customWidth="1"/>
    <col min="15621" max="15621" width="5.5" style="1343" customWidth="1"/>
    <col min="15622" max="15622" width="10.8984375" style="1343" customWidth="1"/>
    <col min="15623" max="15623" width="5.5" style="1343" customWidth="1"/>
    <col min="15624" max="15624" width="10.8984375" style="1343" customWidth="1"/>
    <col min="15625" max="15625" width="5.5" style="1343" customWidth="1"/>
    <col min="15626" max="15626" width="10.8984375" style="1343" customWidth="1"/>
    <col min="15627" max="15872" width="8.796875" style="1343"/>
    <col min="15873" max="15874" width="9.796875" style="1343" customWidth="1"/>
    <col min="15875" max="15875" width="5.5" style="1343" customWidth="1"/>
    <col min="15876" max="15876" width="10.8984375" style="1343" customWidth="1"/>
    <col min="15877" max="15877" width="5.5" style="1343" customWidth="1"/>
    <col min="15878" max="15878" width="10.8984375" style="1343" customWidth="1"/>
    <col min="15879" max="15879" width="5.5" style="1343" customWidth="1"/>
    <col min="15880" max="15880" width="10.8984375" style="1343" customWidth="1"/>
    <col min="15881" max="15881" width="5.5" style="1343" customWidth="1"/>
    <col min="15882" max="15882" width="10.8984375" style="1343" customWidth="1"/>
    <col min="15883" max="16128" width="8.796875" style="1343"/>
    <col min="16129" max="16130" width="9.796875" style="1343" customWidth="1"/>
    <col min="16131" max="16131" width="5.5" style="1343" customWidth="1"/>
    <col min="16132" max="16132" width="10.8984375" style="1343" customWidth="1"/>
    <col min="16133" max="16133" width="5.5" style="1343" customWidth="1"/>
    <col min="16134" max="16134" width="10.8984375" style="1343" customWidth="1"/>
    <col min="16135" max="16135" width="5.5" style="1343" customWidth="1"/>
    <col min="16136" max="16136" width="10.8984375" style="1343" customWidth="1"/>
    <col min="16137" max="16137" width="5.5" style="1343" customWidth="1"/>
    <col min="16138" max="16138" width="10.8984375" style="1343" customWidth="1"/>
    <col min="16139" max="16384" width="8.796875" style="1343"/>
  </cols>
  <sheetData>
    <row r="1" spans="1:10" ht="30" customHeight="1" thickBot="1">
      <c r="A1" s="1426" t="s">
        <v>2845</v>
      </c>
      <c r="B1" s="1426"/>
      <c r="C1" s="1426"/>
      <c r="D1" s="1426"/>
      <c r="E1" s="1426"/>
      <c r="F1" s="1426"/>
      <c r="G1" s="1426"/>
    </row>
    <row r="2" spans="1:10" s="1201" customFormat="1" ht="18" customHeight="1">
      <c r="A2" s="1511"/>
      <c r="B2" s="1512" t="s">
        <v>49</v>
      </c>
      <c r="C2" s="2387" t="s">
        <v>2846</v>
      </c>
      <c r="D2" s="2388"/>
      <c r="E2" s="2387" t="s">
        <v>2847</v>
      </c>
      <c r="F2" s="2388"/>
      <c r="G2" s="2387" t="s">
        <v>2848</v>
      </c>
      <c r="H2" s="2394"/>
      <c r="I2" s="2387" t="s">
        <v>2849</v>
      </c>
      <c r="J2" s="2394"/>
    </row>
    <row r="3" spans="1:10" s="1201" customFormat="1" ht="18" customHeight="1">
      <c r="A3" s="1513" t="s">
        <v>2850</v>
      </c>
      <c r="B3" s="1514"/>
      <c r="C3" s="1427" t="s">
        <v>2851</v>
      </c>
      <c r="D3" s="1458" t="s">
        <v>2852</v>
      </c>
      <c r="E3" s="1427" t="s">
        <v>2851</v>
      </c>
      <c r="F3" s="1458" t="s">
        <v>2852</v>
      </c>
      <c r="G3" s="1427" t="s">
        <v>2851</v>
      </c>
      <c r="H3" s="1459" t="s">
        <v>2852</v>
      </c>
      <c r="I3" s="1427" t="s">
        <v>2851</v>
      </c>
      <c r="J3" s="1459" t="s">
        <v>2852</v>
      </c>
    </row>
    <row r="4" spans="1:10" s="1201" customFormat="1" ht="18" customHeight="1">
      <c r="B4" s="1460"/>
      <c r="C4" s="1461"/>
      <c r="D4" s="1462" t="s">
        <v>2820</v>
      </c>
      <c r="E4" s="1466"/>
      <c r="F4" s="1462" t="s">
        <v>2820</v>
      </c>
      <c r="G4" s="1466"/>
      <c r="H4" s="1259" t="s">
        <v>2820</v>
      </c>
      <c r="I4" s="1461"/>
      <c r="J4" s="1463" t="s">
        <v>2820</v>
      </c>
    </row>
    <row r="5" spans="1:10" s="1201" customFormat="1" ht="18" customHeight="1">
      <c r="A5" s="2511" t="s">
        <v>25</v>
      </c>
      <c r="B5" s="2512"/>
      <c r="C5" s="1515">
        <v>597</v>
      </c>
      <c r="D5" s="1516">
        <v>4911821</v>
      </c>
      <c r="E5" s="1515">
        <v>604</v>
      </c>
      <c r="F5" s="1516">
        <v>5878910</v>
      </c>
      <c r="G5" s="1515">
        <v>561</v>
      </c>
      <c r="H5" s="1517">
        <v>7160369</v>
      </c>
      <c r="I5" s="1515">
        <v>525</v>
      </c>
      <c r="J5" s="1518">
        <v>6758250</v>
      </c>
    </row>
    <row r="6" spans="1:10" s="1201" customFormat="1" ht="18" customHeight="1">
      <c r="A6" s="2511" t="s">
        <v>2853</v>
      </c>
      <c r="B6" s="2512"/>
      <c r="C6" s="1515">
        <v>64</v>
      </c>
      <c r="D6" s="1519">
        <v>1480984</v>
      </c>
      <c r="E6" s="1515">
        <v>71</v>
      </c>
      <c r="F6" s="1519">
        <v>2261679</v>
      </c>
      <c r="G6" s="1515">
        <v>62</v>
      </c>
      <c r="H6" s="1517">
        <v>2997766</v>
      </c>
      <c r="I6" s="1515">
        <v>54</v>
      </c>
      <c r="J6" s="1518">
        <v>2523796</v>
      </c>
    </row>
    <row r="7" spans="1:10" s="1201" customFormat="1" ht="18" customHeight="1">
      <c r="A7" s="2511" t="s">
        <v>2854</v>
      </c>
      <c r="B7" s="2512"/>
      <c r="C7" s="1515">
        <v>1</v>
      </c>
      <c r="D7" s="1520" t="s">
        <v>2855</v>
      </c>
      <c r="E7" s="1515">
        <v>2</v>
      </c>
      <c r="F7" s="1520" t="s">
        <v>2790</v>
      </c>
      <c r="G7" s="1515">
        <v>4</v>
      </c>
      <c r="H7" s="1521">
        <v>448219</v>
      </c>
      <c r="I7" s="1515">
        <v>2</v>
      </c>
      <c r="J7" s="1522" t="s">
        <v>2790</v>
      </c>
    </row>
    <row r="8" spans="1:10" s="1201" customFormat="1" ht="18" customHeight="1">
      <c r="A8" s="2511" t="s">
        <v>2856</v>
      </c>
      <c r="B8" s="2512"/>
      <c r="C8" s="1515">
        <v>65</v>
      </c>
      <c r="D8" s="1523">
        <v>538780</v>
      </c>
      <c r="E8" s="1515">
        <v>61</v>
      </c>
      <c r="F8" s="1523">
        <v>568951</v>
      </c>
      <c r="G8" s="1515">
        <v>58</v>
      </c>
      <c r="H8" s="1524">
        <v>232361</v>
      </c>
      <c r="I8" s="1515">
        <v>56</v>
      </c>
      <c r="J8" s="1522">
        <v>238361</v>
      </c>
    </row>
    <row r="9" spans="1:10" s="1201" customFormat="1" ht="18" customHeight="1">
      <c r="A9" s="2511" t="s">
        <v>2857</v>
      </c>
      <c r="B9" s="2512"/>
      <c r="C9" s="1515">
        <v>193</v>
      </c>
      <c r="D9" s="1519">
        <v>1036528</v>
      </c>
      <c r="E9" s="1515">
        <v>201</v>
      </c>
      <c r="F9" s="1519">
        <v>1125761</v>
      </c>
      <c r="G9" s="1515">
        <v>169</v>
      </c>
      <c r="H9" s="1517">
        <v>1172613</v>
      </c>
      <c r="I9" s="1515">
        <v>164</v>
      </c>
      <c r="J9" s="1518">
        <v>1336044</v>
      </c>
    </row>
    <row r="10" spans="1:10" s="1201" customFormat="1" ht="18" customHeight="1">
      <c r="A10" s="2511" t="s">
        <v>2858</v>
      </c>
      <c r="B10" s="2512"/>
      <c r="C10" s="1515">
        <v>41</v>
      </c>
      <c r="D10" s="1516">
        <v>549901</v>
      </c>
      <c r="E10" s="1515">
        <v>42</v>
      </c>
      <c r="F10" s="1516">
        <v>751967</v>
      </c>
      <c r="G10" s="1515">
        <v>40</v>
      </c>
      <c r="H10" s="1525">
        <v>897396</v>
      </c>
      <c r="I10" s="1515">
        <v>35</v>
      </c>
      <c r="J10" s="1526">
        <v>846286</v>
      </c>
    </row>
    <row r="11" spans="1:10" s="1201" customFormat="1" ht="18" customHeight="1">
      <c r="A11" s="2511" t="s">
        <v>2859</v>
      </c>
      <c r="B11" s="2512"/>
      <c r="C11" s="1515">
        <v>56</v>
      </c>
      <c r="D11" s="1516">
        <v>279086</v>
      </c>
      <c r="E11" s="1515">
        <v>57</v>
      </c>
      <c r="F11" s="1516">
        <v>335322</v>
      </c>
      <c r="G11" s="1515">
        <v>56</v>
      </c>
      <c r="H11" s="1525">
        <v>322951</v>
      </c>
      <c r="I11" s="1515">
        <v>47</v>
      </c>
      <c r="J11" s="1526">
        <v>320786</v>
      </c>
    </row>
    <row r="12" spans="1:10" s="1201" customFormat="1" ht="18" customHeight="1" thickBot="1">
      <c r="A12" s="2513" t="s">
        <v>2860</v>
      </c>
      <c r="B12" s="2514"/>
      <c r="C12" s="1527">
        <v>177</v>
      </c>
      <c r="D12" s="1528">
        <v>1000353</v>
      </c>
      <c r="E12" s="1527">
        <v>168</v>
      </c>
      <c r="F12" s="1528">
        <v>792609</v>
      </c>
      <c r="G12" s="1527">
        <v>172</v>
      </c>
      <c r="H12" s="1529">
        <v>1045561</v>
      </c>
      <c r="I12" s="1527">
        <v>167</v>
      </c>
      <c r="J12" s="1530">
        <v>6564</v>
      </c>
    </row>
    <row r="13" spans="1:10" s="1201" customFormat="1" ht="15" customHeight="1" thickBot="1">
      <c r="A13" s="2428"/>
      <c r="B13" s="2428"/>
      <c r="C13" s="2428"/>
      <c r="D13" s="2428"/>
    </row>
    <row r="14" spans="1:10" ht="18" customHeight="1">
      <c r="A14" s="1511"/>
      <c r="B14" s="1512" t="s">
        <v>49</v>
      </c>
      <c r="C14" s="2387" t="s">
        <v>2861</v>
      </c>
      <c r="D14" s="2388"/>
      <c r="E14" s="2387" t="s">
        <v>2862</v>
      </c>
      <c r="F14" s="2388"/>
      <c r="G14" s="2387" t="s">
        <v>2863</v>
      </c>
      <c r="H14" s="2388"/>
      <c r="I14" s="2387" t="s">
        <v>2864</v>
      </c>
      <c r="J14" s="2394"/>
    </row>
    <row r="15" spans="1:10" ht="18" customHeight="1">
      <c r="A15" s="1513" t="s">
        <v>2850</v>
      </c>
      <c r="B15" s="1514"/>
      <c r="C15" s="1531" t="s">
        <v>2851</v>
      </c>
      <c r="D15" s="1493" t="s">
        <v>2835</v>
      </c>
      <c r="E15" s="1531" t="s">
        <v>2851</v>
      </c>
      <c r="F15" s="1493" t="s">
        <v>2835</v>
      </c>
      <c r="G15" s="1531" t="s">
        <v>2851</v>
      </c>
      <c r="H15" s="1493" t="s">
        <v>2835</v>
      </c>
      <c r="I15" s="1427" t="s">
        <v>2851</v>
      </c>
      <c r="J15" s="1532" t="s">
        <v>2835</v>
      </c>
    </row>
    <row r="16" spans="1:10">
      <c r="A16" s="1201"/>
      <c r="B16" s="1460"/>
      <c r="C16" s="1462"/>
      <c r="D16" s="1462" t="s">
        <v>2820</v>
      </c>
      <c r="E16" s="1466"/>
      <c r="F16" s="1462" t="s">
        <v>2820</v>
      </c>
      <c r="G16" s="1466"/>
      <c r="H16" s="1463" t="s">
        <v>2820</v>
      </c>
      <c r="I16" s="1466"/>
      <c r="J16" s="1463" t="s">
        <v>2820</v>
      </c>
    </row>
    <row r="17" spans="1:10" ht="18" customHeight="1">
      <c r="A17" s="2511" t="s">
        <v>25</v>
      </c>
      <c r="B17" s="2512"/>
      <c r="C17" s="1533">
        <v>474</v>
      </c>
      <c r="D17" s="1519">
        <v>7749198</v>
      </c>
      <c r="E17" s="1534">
        <v>467</v>
      </c>
      <c r="F17" s="1519">
        <v>5616014</v>
      </c>
      <c r="G17" s="1515">
        <v>432</v>
      </c>
      <c r="H17" s="1518">
        <v>5031070</v>
      </c>
      <c r="I17" s="1515">
        <v>385</v>
      </c>
      <c r="J17" s="1518">
        <v>4299494</v>
      </c>
    </row>
    <row r="18" spans="1:10" ht="18" customHeight="1">
      <c r="A18" s="2511" t="s">
        <v>2853</v>
      </c>
      <c r="B18" s="2512"/>
      <c r="C18" s="1533">
        <v>52</v>
      </c>
      <c r="D18" s="1519">
        <v>3301812</v>
      </c>
      <c r="E18" s="1534">
        <v>52</v>
      </c>
      <c r="F18" s="1516">
        <v>1628729</v>
      </c>
      <c r="G18" s="1515">
        <v>45</v>
      </c>
      <c r="H18" s="1518">
        <v>1226715</v>
      </c>
      <c r="I18" s="1515">
        <v>42</v>
      </c>
      <c r="J18" s="1518">
        <v>1070968</v>
      </c>
    </row>
    <row r="19" spans="1:10" ht="18" customHeight="1">
      <c r="A19" s="2511" t="s">
        <v>2854</v>
      </c>
      <c r="B19" s="2512"/>
      <c r="C19" s="1533">
        <v>2</v>
      </c>
      <c r="D19" s="1520" t="s">
        <v>2790</v>
      </c>
      <c r="E19" s="1534">
        <v>4</v>
      </c>
      <c r="F19" s="1523">
        <v>310275</v>
      </c>
      <c r="G19" s="1515">
        <v>2</v>
      </c>
      <c r="H19" s="1522" t="s">
        <v>2790</v>
      </c>
      <c r="I19" s="1515">
        <v>2</v>
      </c>
      <c r="J19" s="1524" t="s">
        <v>2790</v>
      </c>
    </row>
    <row r="20" spans="1:10" ht="18" customHeight="1">
      <c r="A20" s="2511" t="s">
        <v>2856</v>
      </c>
      <c r="B20" s="2512"/>
      <c r="C20" s="1533">
        <v>50</v>
      </c>
      <c r="D20" s="1520">
        <v>220860</v>
      </c>
      <c r="E20" s="1534">
        <v>39</v>
      </c>
      <c r="F20" s="1520">
        <v>159828</v>
      </c>
      <c r="G20" s="1515">
        <v>41</v>
      </c>
      <c r="H20" s="1522">
        <v>150303</v>
      </c>
      <c r="I20" s="1515">
        <v>37</v>
      </c>
      <c r="J20" s="1522">
        <v>97971</v>
      </c>
    </row>
    <row r="21" spans="1:10" ht="18" customHeight="1">
      <c r="A21" s="2511" t="s">
        <v>2857</v>
      </c>
      <c r="B21" s="2512"/>
      <c r="C21" s="1533">
        <v>142</v>
      </c>
      <c r="D21" s="1519">
        <v>1376844</v>
      </c>
      <c r="E21" s="1534">
        <v>134</v>
      </c>
      <c r="F21" s="1519">
        <v>1099158</v>
      </c>
      <c r="G21" s="1515">
        <v>130</v>
      </c>
      <c r="H21" s="1526">
        <v>919497</v>
      </c>
      <c r="I21" s="1515">
        <v>94</v>
      </c>
      <c r="J21" s="1518">
        <v>845559</v>
      </c>
    </row>
    <row r="22" spans="1:10" ht="18" customHeight="1">
      <c r="A22" s="2511" t="s">
        <v>2858</v>
      </c>
      <c r="B22" s="2512"/>
      <c r="C22" s="1533">
        <v>33</v>
      </c>
      <c r="D22" s="1516">
        <v>868042</v>
      </c>
      <c r="E22" s="1534">
        <v>33</v>
      </c>
      <c r="F22" s="1516">
        <v>607384</v>
      </c>
      <c r="G22" s="1515">
        <v>32</v>
      </c>
      <c r="H22" s="1518" t="s">
        <v>2790</v>
      </c>
      <c r="I22" s="1515">
        <v>33</v>
      </c>
      <c r="J22" s="1517">
        <v>499528</v>
      </c>
    </row>
    <row r="23" spans="1:10" ht="18" customHeight="1">
      <c r="A23" s="2511" t="s">
        <v>2859</v>
      </c>
      <c r="B23" s="2512"/>
      <c r="C23" s="1533">
        <v>51</v>
      </c>
      <c r="D23" s="1519" t="s">
        <v>2790</v>
      </c>
      <c r="E23" s="1534">
        <v>43</v>
      </c>
      <c r="F23" s="1519">
        <v>320733</v>
      </c>
      <c r="G23" s="1515">
        <v>40</v>
      </c>
      <c r="H23" s="1518">
        <v>332437</v>
      </c>
      <c r="I23" s="1515">
        <v>39</v>
      </c>
      <c r="J23" s="1518">
        <v>292538</v>
      </c>
    </row>
    <row r="24" spans="1:10" ht="18" customHeight="1" thickBot="1">
      <c r="A24" s="2513" t="s">
        <v>2860</v>
      </c>
      <c r="B24" s="2514"/>
      <c r="C24" s="1535">
        <v>144</v>
      </c>
      <c r="D24" s="1528">
        <v>1293895</v>
      </c>
      <c r="E24" s="1536">
        <v>162</v>
      </c>
      <c r="F24" s="1537">
        <v>1481457</v>
      </c>
      <c r="G24" s="1527">
        <v>142</v>
      </c>
      <c r="H24" s="1530">
        <v>1560104</v>
      </c>
      <c r="I24" s="1527">
        <v>138</v>
      </c>
      <c r="J24" s="1538" t="s">
        <v>2790</v>
      </c>
    </row>
    <row r="25" spans="1:10" ht="15" customHeight="1" thickBot="1">
      <c r="A25" s="1539"/>
      <c r="B25" s="1539"/>
      <c r="C25" s="1540"/>
      <c r="D25" s="1541"/>
      <c r="E25" s="1542"/>
      <c r="F25" s="1518"/>
      <c r="G25" s="1543"/>
      <c r="H25" s="1526"/>
      <c r="I25" s="1543"/>
      <c r="J25" s="1518"/>
    </row>
    <row r="26" spans="1:10" ht="18" customHeight="1">
      <c r="A26" s="1511"/>
      <c r="B26" s="1512" t="s">
        <v>49</v>
      </c>
      <c r="C26" s="2387" t="s">
        <v>2865</v>
      </c>
      <c r="D26" s="2394"/>
      <c r="E26" s="2387" t="s">
        <v>2866</v>
      </c>
      <c r="F26" s="2394"/>
      <c r="G26" s="2387" t="s">
        <v>2867</v>
      </c>
      <c r="H26" s="2394"/>
      <c r="I26" s="2387" t="s">
        <v>2868</v>
      </c>
      <c r="J26" s="2394"/>
    </row>
    <row r="27" spans="1:10" ht="18" customHeight="1">
      <c r="A27" s="1513" t="s">
        <v>2850</v>
      </c>
      <c r="B27" s="1514"/>
      <c r="C27" s="1427" t="s">
        <v>2851</v>
      </c>
      <c r="D27" s="1544" t="s">
        <v>2835</v>
      </c>
      <c r="E27" s="1427" t="s">
        <v>2851</v>
      </c>
      <c r="F27" s="1544" t="s">
        <v>2835</v>
      </c>
      <c r="G27" s="1427" t="s">
        <v>2851</v>
      </c>
      <c r="H27" s="1532" t="s">
        <v>2835</v>
      </c>
      <c r="I27" s="1427" t="s">
        <v>2851</v>
      </c>
      <c r="J27" s="1532" t="s">
        <v>2835</v>
      </c>
    </row>
    <row r="28" spans="1:10">
      <c r="A28" s="1201"/>
      <c r="B28" s="1460"/>
      <c r="C28" s="1462"/>
      <c r="D28" s="1545" t="s">
        <v>2820</v>
      </c>
      <c r="E28" s="1462"/>
      <c r="F28" s="1259" t="s">
        <v>2820</v>
      </c>
      <c r="G28" s="1466"/>
      <c r="H28" s="1464" t="s">
        <v>2820</v>
      </c>
      <c r="I28" s="1466"/>
      <c r="J28" s="1464" t="s">
        <v>2820</v>
      </c>
    </row>
    <row r="29" spans="1:10" ht="18" customHeight="1">
      <c r="A29" s="2511" t="s">
        <v>25</v>
      </c>
      <c r="B29" s="2512"/>
      <c r="C29" s="1515">
        <f>SUM(C30:C36)</f>
        <v>264</v>
      </c>
      <c r="D29" s="1518">
        <v>3140017</v>
      </c>
      <c r="E29" s="1515">
        <v>293</v>
      </c>
      <c r="F29" s="1518">
        <v>3627000</v>
      </c>
      <c r="G29" s="1534">
        <v>276</v>
      </c>
      <c r="H29" s="1517">
        <v>3491600</v>
      </c>
      <c r="I29" s="1551">
        <v>223</v>
      </c>
      <c r="J29" s="1552">
        <v>32888700</v>
      </c>
    </row>
    <row r="30" spans="1:10" ht="18" customHeight="1">
      <c r="A30" s="2511" t="s">
        <v>2853</v>
      </c>
      <c r="B30" s="2512"/>
      <c r="C30" s="1515">
        <v>31</v>
      </c>
      <c r="D30" s="1518">
        <v>758561</v>
      </c>
      <c r="E30" s="1515">
        <v>37</v>
      </c>
      <c r="F30" s="1518">
        <v>830600</v>
      </c>
      <c r="G30" s="1534">
        <v>39</v>
      </c>
      <c r="H30" s="228">
        <v>826100</v>
      </c>
      <c r="I30" s="1551">
        <v>38</v>
      </c>
      <c r="J30" s="1553">
        <v>-1304600</v>
      </c>
    </row>
    <row r="31" spans="1:10" ht="18" customHeight="1">
      <c r="A31" s="2511" t="s">
        <v>2869</v>
      </c>
      <c r="B31" s="2512"/>
      <c r="C31" s="1515">
        <v>1</v>
      </c>
      <c r="D31" s="1546" t="s">
        <v>2789</v>
      </c>
      <c r="E31" s="1515">
        <v>1</v>
      </c>
      <c r="F31" s="1546" t="s">
        <v>2789</v>
      </c>
      <c r="G31" s="1547" t="s">
        <v>384</v>
      </c>
      <c r="H31" s="1521" t="s">
        <v>384</v>
      </c>
      <c r="I31" s="1554" t="s">
        <v>384</v>
      </c>
      <c r="J31" s="1555" t="s">
        <v>384</v>
      </c>
    </row>
    <row r="32" spans="1:10" ht="18" customHeight="1">
      <c r="A32" s="2511" t="s">
        <v>2870</v>
      </c>
      <c r="B32" s="2512"/>
      <c r="C32" s="1515">
        <v>25</v>
      </c>
      <c r="D32" s="1522">
        <v>81513</v>
      </c>
      <c r="E32" s="1515">
        <v>25</v>
      </c>
      <c r="F32" s="1522">
        <v>69800</v>
      </c>
      <c r="G32" s="1548">
        <v>17</v>
      </c>
      <c r="H32" s="1521">
        <v>57700</v>
      </c>
      <c r="I32" s="1551">
        <v>15</v>
      </c>
      <c r="J32" s="1556">
        <v>52900</v>
      </c>
    </row>
    <row r="33" spans="1:10" ht="18" customHeight="1">
      <c r="A33" s="2511" t="s">
        <v>2871</v>
      </c>
      <c r="B33" s="2512"/>
      <c r="C33" s="1515">
        <v>62</v>
      </c>
      <c r="D33" s="1518">
        <v>605986</v>
      </c>
      <c r="E33" s="1515">
        <v>71</v>
      </c>
      <c r="F33" s="1518">
        <v>693100</v>
      </c>
      <c r="G33" s="1534">
        <v>66</v>
      </c>
      <c r="H33" s="1521">
        <v>580000</v>
      </c>
      <c r="I33" s="1551">
        <v>57</v>
      </c>
      <c r="J33" s="1557">
        <v>454700</v>
      </c>
    </row>
    <row r="34" spans="1:10" ht="18" customHeight="1">
      <c r="A34" s="2511" t="s">
        <v>2872</v>
      </c>
      <c r="B34" s="2512"/>
      <c r="C34" s="1515">
        <v>38</v>
      </c>
      <c r="D34" s="1517">
        <v>409013</v>
      </c>
      <c r="E34" s="1515">
        <v>45</v>
      </c>
      <c r="F34" s="1517">
        <v>642600</v>
      </c>
      <c r="G34" s="1534">
        <v>48</v>
      </c>
      <c r="H34" s="1521">
        <v>620500</v>
      </c>
      <c r="I34" s="1551">
        <v>32</v>
      </c>
      <c r="J34" s="1552">
        <v>431100</v>
      </c>
    </row>
    <row r="35" spans="1:10" ht="18" customHeight="1">
      <c r="A35" s="2511" t="s">
        <v>2873</v>
      </c>
      <c r="B35" s="2512"/>
      <c r="C35" s="1515">
        <v>100</v>
      </c>
      <c r="D35" s="1549" t="s">
        <v>2789</v>
      </c>
      <c r="E35" s="1515">
        <v>107</v>
      </c>
      <c r="F35" s="1549" t="s">
        <v>2789</v>
      </c>
      <c r="G35" s="1534">
        <v>98</v>
      </c>
      <c r="H35" s="1517">
        <v>1223100</v>
      </c>
      <c r="I35" s="1551">
        <v>78</v>
      </c>
      <c r="J35" s="1557">
        <v>1032400</v>
      </c>
    </row>
    <row r="36" spans="1:10" ht="18" customHeight="1" thickBot="1">
      <c r="A36" s="2513" t="s">
        <v>2874</v>
      </c>
      <c r="B36" s="2514"/>
      <c r="C36" s="1527">
        <v>7</v>
      </c>
      <c r="D36" s="1538">
        <v>11841</v>
      </c>
      <c r="E36" s="1527">
        <v>7</v>
      </c>
      <c r="F36" s="1538">
        <v>14900</v>
      </c>
      <c r="G36" s="1536">
        <v>8</v>
      </c>
      <c r="H36" s="1550">
        <v>184200</v>
      </c>
      <c r="I36" s="1558">
        <v>3</v>
      </c>
      <c r="J36" s="1559">
        <v>13100</v>
      </c>
    </row>
    <row r="37" spans="1:10">
      <c r="A37" s="1422" t="s">
        <v>2875</v>
      </c>
    </row>
    <row r="38" spans="1:10">
      <c r="A38" s="1201" t="s">
        <v>2876</v>
      </c>
    </row>
    <row r="39" spans="1:10">
      <c r="A39" s="1201" t="s">
        <v>2877</v>
      </c>
    </row>
    <row r="40" spans="1:10">
      <c r="A40" s="1201" t="s">
        <v>2878</v>
      </c>
    </row>
  </sheetData>
  <mergeCells count="37">
    <mergeCell ref="A36:B36"/>
    <mergeCell ref="A30:B30"/>
    <mergeCell ref="A31:B31"/>
    <mergeCell ref="A32:B32"/>
    <mergeCell ref="A33:B33"/>
    <mergeCell ref="A34:B34"/>
    <mergeCell ref="A35:B35"/>
    <mergeCell ref="E14:F14"/>
    <mergeCell ref="G14:H14"/>
    <mergeCell ref="I14:J14"/>
    <mergeCell ref="A29:B29"/>
    <mergeCell ref="A18:B18"/>
    <mergeCell ref="A19:B19"/>
    <mergeCell ref="A20:B20"/>
    <mergeCell ref="A21:B21"/>
    <mergeCell ref="A22:B22"/>
    <mergeCell ref="A23:B23"/>
    <mergeCell ref="A24:B24"/>
    <mergeCell ref="C26:D26"/>
    <mergeCell ref="E26:F26"/>
    <mergeCell ref="G26:H26"/>
    <mergeCell ref="I26:J26"/>
    <mergeCell ref="A17:B17"/>
    <mergeCell ref="A13:D13"/>
    <mergeCell ref="C14:D14"/>
    <mergeCell ref="A6:B6"/>
    <mergeCell ref="C2:D2"/>
    <mergeCell ref="A7:B7"/>
    <mergeCell ref="A8:B8"/>
    <mergeCell ref="A9:B9"/>
    <mergeCell ref="A10:B10"/>
    <mergeCell ref="A11:B11"/>
    <mergeCell ref="E2:F2"/>
    <mergeCell ref="G2:H2"/>
    <mergeCell ref="I2:J2"/>
    <mergeCell ref="A5:B5"/>
    <mergeCell ref="A12:B12"/>
  </mergeCells>
  <phoneticPr fontId="4"/>
  <pageMargins left="0.7" right="0.7" top="0.75" bottom="0.75" header="0.3" footer="0.3"/>
  <pageSetup paperSize="9" scale="8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38E6-7815-4347-A92C-7A8C16023C7B}">
  <sheetPr codeName="Sheet111"/>
  <dimension ref="A1:J23"/>
  <sheetViews>
    <sheetView workbookViewId="0"/>
  </sheetViews>
  <sheetFormatPr defaultRowHeight="17.25" customHeight="1"/>
  <cols>
    <col min="1" max="1" width="13.59765625" style="1431" customWidth="1"/>
    <col min="2" max="2" width="9" style="1431" customWidth="1"/>
    <col min="3" max="4" width="5.3984375" style="1431" bestFit="1" customWidth="1"/>
    <col min="5" max="7" width="6.69921875" style="1431" customWidth="1"/>
    <col min="8" max="256" width="8.796875" style="1431"/>
    <col min="257" max="257" width="11.5" style="1431" customWidth="1"/>
    <col min="258" max="258" width="9" style="1431" customWidth="1"/>
    <col min="259" max="260" width="5.3984375" style="1431" bestFit="1" customWidth="1"/>
    <col min="261" max="263" width="6.69921875" style="1431" customWidth="1"/>
    <col min="264" max="512" width="8.796875" style="1431"/>
    <col min="513" max="513" width="11.5" style="1431" customWidth="1"/>
    <col min="514" max="514" width="9" style="1431" customWidth="1"/>
    <col min="515" max="516" width="5.3984375" style="1431" bestFit="1" customWidth="1"/>
    <col min="517" max="519" width="6.69921875" style="1431" customWidth="1"/>
    <col min="520" max="768" width="8.796875" style="1431"/>
    <col min="769" max="769" width="11.5" style="1431" customWidth="1"/>
    <col min="770" max="770" width="9" style="1431" customWidth="1"/>
    <col min="771" max="772" width="5.3984375" style="1431" bestFit="1" customWidth="1"/>
    <col min="773" max="775" width="6.69921875" style="1431" customWidth="1"/>
    <col min="776" max="1024" width="8.796875" style="1431"/>
    <col min="1025" max="1025" width="11.5" style="1431" customWidth="1"/>
    <col min="1026" max="1026" width="9" style="1431" customWidth="1"/>
    <col min="1027" max="1028" width="5.3984375" style="1431" bestFit="1" customWidth="1"/>
    <col min="1029" max="1031" width="6.69921875" style="1431" customWidth="1"/>
    <col min="1032" max="1280" width="8.796875" style="1431"/>
    <col min="1281" max="1281" width="11.5" style="1431" customWidth="1"/>
    <col min="1282" max="1282" width="9" style="1431" customWidth="1"/>
    <col min="1283" max="1284" width="5.3984375" style="1431" bestFit="1" customWidth="1"/>
    <col min="1285" max="1287" width="6.69921875" style="1431" customWidth="1"/>
    <col min="1288" max="1536" width="8.796875" style="1431"/>
    <col min="1537" max="1537" width="11.5" style="1431" customWidth="1"/>
    <col min="1538" max="1538" width="9" style="1431" customWidth="1"/>
    <col min="1539" max="1540" width="5.3984375" style="1431" bestFit="1" customWidth="1"/>
    <col min="1541" max="1543" width="6.69921875" style="1431" customWidth="1"/>
    <col min="1544" max="1792" width="8.796875" style="1431"/>
    <col min="1793" max="1793" width="11.5" style="1431" customWidth="1"/>
    <col min="1794" max="1794" width="9" style="1431" customWidth="1"/>
    <col min="1795" max="1796" width="5.3984375" style="1431" bestFit="1" customWidth="1"/>
    <col min="1797" max="1799" width="6.69921875" style="1431" customWidth="1"/>
    <col min="1800" max="2048" width="8.796875" style="1431"/>
    <col min="2049" max="2049" width="11.5" style="1431" customWidth="1"/>
    <col min="2050" max="2050" width="9" style="1431" customWidth="1"/>
    <col min="2051" max="2052" width="5.3984375" style="1431" bestFit="1" customWidth="1"/>
    <col min="2053" max="2055" width="6.69921875" style="1431" customWidth="1"/>
    <col min="2056" max="2304" width="8.796875" style="1431"/>
    <col min="2305" max="2305" width="11.5" style="1431" customWidth="1"/>
    <col min="2306" max="2306" width="9" style="1431" customWidth="1"/>
    <col min="2307" max="2308" width="5.3984375" style="1431" bestFit="1" customWidth="1"/>
    <col min="2309" max="2311" width="6.69921875" style="1431" customWidth="1"/>
    <col min="2312" max="2560" width="8.796875" style="1431"/>
    <col min="2561" max="2561" width="11.5" style="1431" customWidth="1"/>
    <col min="2562" max="2562" width="9" style="1431" customWidth="1"/>
    <col min="2563" max="2564" width="5.3984375" style="1431" bestFit="1" customWidth="1"/>
    <col min="2565" max="2567" width="6.69921875" style="1431" customWidth="1"/>
    <col min="2568" max="2816" width="8.796875" style="1431"/>
    <col min="2817" max="2817" width="11.5" style="1431" customWidth="1"/>
    <col min="2818" max="2818" width="9" style="1431" customWidth="1"/>
    <col min="2819" max="2820" width="5.3984375" style="1431" bestFit="1" customWidth="1"/>
    <col min="2821" max="2823" width="6.69921875" style="1431" customWidth="1"/>
    <col min="2824" max="3072" width="8.796875" style="1431"/>
    <col min="3073" max="3073" width="11.5" style="1431" customWidth="1"/>
    <col min="3074" max="3074" width="9" style="1431" customWidth="1"/>
    <col min="3075" max="3076" width="5.3984375" style="1431" bestFit="1" customWidth="1"/>
    <col min="3077" max="3079" width="6.69921875" style="1431" customWidth="1"/>
    <col min="3080" max="3328" width="8.796875" style="1431"/>
    <col min="3329" max="3329" width="11.5" style="1431" customWidth="1"/>
    <col min="3330" max="3330" width="9" style="1431" customWidth="1"/>
    <col min="3331" max="3332" width="5.3984375" style="1431" bestFit="1" customWidth="1"/>
    <col min="3333" max="3335" width="6.69921875" style="1431" customWidth="1"/>
    <col min="3336" max="3584" width="8.796875" style="1431"/>
    <col min="3585" max="3585" width="11.5" style="1431" customWidth="1"/>
    <col min="3586" max="3586" width="9" style="1431" customWidth="1"/>
    <col min="3587" max="3588" width="5.3984375" style="1431" bestFit="1" customWidth="1"/>
    <col min="3589" max="3591" width="6.69921875" style="1431" customWidth="1"/>
    <col min="3592" max="3840" width="8.796875" style="1431"/>
    <col min="3841" max="3841" width="11.5" style="1431" customWidth="1"/>
    <col min="3842" max="3842" width="9" style="1431" customWidth="1"/>
    <col min="3843" max="3844" width="5.3984375" style="1431" bestFit="1" customWidth="1"/>
    <col min="3845" max="3847" width="6.69921875" style="1431" customWidth="1"/>
    <col min="3848" max="4096" width="8.796875" style="1431"/>
    <col min="4097" max="4097" width="11.5" style="1431" customWidth="1"/>
    <col min="4098" max="4098" width="9" style="1431" customWidth="1"/>
    <col min="4099" max="4100" width="5.3984375" style="1431" bestFit="1" customWidth="1"/>
    <col min="4101" max="4103" width="6.69921875" style="1431" customWidth="1"/>
    <col min="4104" max="4352" width="8.796875" style="1431"/>
    <col min="4353" max="4353" width="11.5" style="1431" customWidth="1"/>
    <col min="4354" max="4354" width="9" style="1431" customWidth="1"/>
    <col min="4355" max="4356" width="5.3984375" style="1431" bestFit="1" customWidth="1"/>
    <col min="4357" max="4359" width="6.69921875" style="1431" customWidth="1"/>
    <col min="4360" max="4608" width="8.796875" style="1431"/>
    <col min="4609" max="4609" width="11.5" style="1431" customWidth="1"/>
    <col min="4610" max="4610" width="9" style="1431" customWidth="1"/>
    <col min="4611" max="4612" width="5.3984375" style="1431" bestFit="1" customWidth="1"/>
    <col min="4613" max="4615" width="6.69921875" style="1431" customWidth="1"/>
    <col min="4616" max="4864" width="8.796875" style="1431"/>
    <col min="4865" max="4865" width="11.5" style="1431" customWidth="1"/>
    <col min="4866" max="4866" width="9" style="1431" customWidth="1"/>
    <col min="4867" max="4868" width="5.3984375" style="1431" bestFit="1" customWidth="1"/>
    <col min="4869" max="4871" width="6.69921875" style="1431" customWidth="1"/>
    <col min="4872" max="5120" width="8.796875" style="1431"/>
    <col min="5121" max="5121" width="11.5" style="1431" customWidth="1"/>
    <col min="5122" max="5122" width="9" style="1431" customWidth="1"/>
    <col min="5123" max="5124" width="5.3984375" style="1431" bestFit="1" customWidth="1"/>
    <col min="5125" max="5127" width="6.69921875" style="1431" customWidth="1"/>
    <col min="5128" max="5376" width="8.796875" style="1431"/>
    <col min="5377" max="5377" width="11.5" style="1431" customWidth="1"/>
    <col min="5378" max="5378" width="9" style="1431" customWidth="1"/>
    <col min="5379" max="5380" width="5.3984375" style="1431" bestFit="1" customWidth="1"/>
    <col min="5381" max="5383" width="6.69921875" style="1431" customWidth="1"/>
    <col min="5384" max="5632" width="8.796875" style="1431"/>
    <col min="5633" max="5633" width="11.5" style="1431" customWidth="1"/>
    <col min="5634" max="5634" width="9" style="1431" customWidth="1"/>
    <col min="5635" max="5636" width="5.3984375" style="1431" bestFit="1" customWidth="1"/>
    <col min="5637" max="5639" width="6.69921875" style="1431" customWidth="1"/>
    <col min="5640" max="5888" width="8.796875" style="1431"/>
    <col min="5889" max="5889" width="11.5" style="1431" customWidth="1"/>
    <col min="5890" max="5890" width="9" style="1431" customWidth="1"/>
    <col min="5891" max="5892" width="5.3984375" style="1431" bestFit="1" customWidth="1"/>
    <col min="5893" max="5895" width="6.69921875" style="1431" customWidth="1"/>
    <col min="5896" max="6144" width="8.796875" style="1431"/>
    <col min="6145" max="6145" width="11.5" style="1431" customWidth="1"/>
    <col min="6146" max="6146" width="9" style="1431" customWidth="1"/>
    <col min="6147" max="6148" width="5.3984375" style="1431" bestFit="1" customWidth="1"/>
    <col min="6149" max="6151" width="6.69921875" style="1431" customWidth="1"/>
    <col min="6152" max="6400" width="8.796875" style="1431"/>
    <col min="6401" max="6401" width="11.5" style="1431" customWidth="1"/>
    <col min="6402" max="6402" width="9" style="1431" customWidth="1"/>
    <col min="6403" max="6404" width="5.3984375" style="1431" bestFit="1" customWidth="1"/>
    <col min="6405" max="6407" width="6.69921875" style="1431" customWidth="1"/>
    <col min="6408" max="6656" width="8.796875" style="1431"/>
    <col min="6657" max="6657" width="11.5" style="1431" customWidth="1"/>
    <col min="6658" max="6658" width="9" style="1431" customWidth="1"/>
    <col min="6659" max="6660" width="5.3984375" style="1431" bestFit="1" customWidth="1"/>
    <col min="6661" max="6663" width="6.69921875" style="1431" customWidth="1"/>
    <col min="6664" max="6912" width="8.796875" style="1431"/>
    <col min="6913" max="6913" width="11.5" style="1431" customWidth="1"/>
    <col min="6914" max="6914" width="9" style="1431" customWidth="1"/>
    <col min="6915" max="6916" width="5.3984375" style="1431" bestFit="1" customWidth="1"/>
    <col min="6917" max="6919" width="6.69921875" style="1431" customWidth="1"/>
    <col min="6920" max="7168" width="8.796875" style="1431"/>
    <col min="7169" max="7169" width="11.5" style="1431" customWidth="1"/>
    <col min="7170" max="7170" width="9" style="1431" customWidth="1"/>
    <col min="7171" max="7172" width="5.3984375" style="1431" bestFit="1" customWidth="1"/>
    <col min="7173" max="7175" width="6.69921875" style="1431" customWidth="1"/>
    <col min="7176" max="7424" width="8.796875" style="1431"/>
    <col min="7425" max="7425" width="11.5" style="1431" customWidth="1"/>
    <col min="7426" max="7426" width="9" style="1431" customWidth="1"/>
    <col min="7427" max="7428" width="5.3984375" style="1431" bestFit="1" customWidth="1"/>
    <col min="7429" max="7431" width="6.69921875" style="1431" customWidth="1"/>
    <col min="7432" max="7680" width="8.796875" style="1431"/>
    <col min="7681" max="7681" width="11.5" style="1431" customWidth="1"/>
    <col min="7682" max="7682" width="9" style="1431" customWidth="1"/>
    <col min="7683" max="7684" width="5.3984375" style="1431" bestFit="1" customWidth="1"/>
    <col min="7685" max="7687" width="6.69921875" style="1431" customWidth="1"/>
    <col min="7688" max="7936" width="8.796875" style="1431"/>
    <col min="7937" max="7937" width="11.5" style="1431" customWidth="1"/>
    <col min="7938" max="7938" width="9" style="1431" customWidth="1"/>
    <col min="7939" max="7940" width="5.3984375" style="1431" bestFit="1" customWidth="1"/>
    <col min="7941" max="7943" width="6.69921875" style="1431" customWidth="1"/>
    <col min="7944" max="8192" width="8.796875" style="1431"/>
    <col min="8193" max="8193" width="11.5" style="1431" customWidth="1"/>
    <col min="8194" max="8194" width="9" style="1431" customWidth="1"/>
    <col min="8195" max="8196" width="5.3984375" style="1431" bestFit="1" customWidth="1"/>
    <col min="8197" max="8199" width="6.69921875" style="1431" customWidth="1"/>
    <col min="8200" max="8448" width="8.796875" style="1431"/>
    <col min="8449" max="8449" width="11.5" style="1431" customWidth="1"/>
    <col min="8450" max="8450" width="9" style="1431" customWidth="1"/>
    <col min="8451" max="8452" width="5.3984375" style="1431" bestFit="1" customWidth="1"/>
    <col min="8453" max="8455" width="6.69921875" style="1431" customWidth="1"/>
    <col min="8456" max="8704" width="8.796875" style="1431"/>
    <col min="8705" max="8705" width="11.5" style="1431" customWidth="1"/>
    <col min="8706" max="8706" width="9" style="1431" customWidth="1"/>
    <col min="8707" max="8708" width="5.3984375" style="1431" bestFit="1" customWidth="1"/>
    <col min="8709" max="8711" width="6.69921875" style="1431" customWidth="1"/>
    <col min="8712" max="8960" width="8.796875" style="1431"/>
    <col min="8961" max="8961" width="11.5" style="1431" customWidth="1"/>
    <col min="8962" max="8962" width="9" style="1431" customWidth="1"/>
    <col min="8963" max="8964" width="5.3984375" style="1431" bestFit="1" customWidth="1"/>
    <col min="8965" max="8967" width="6.69921875" style="1431" customWidth="1"/>
    <col min="8968" max="9216" width="8.796875" style="1431"/>
    <col min="9217" max="9217" width="11.5" style="1431" customWidth="1"/>
    <col min="9218" max="9218" width="9" style="1431" customWidth="1"/>
    <col min="9219" max="9220" width="5.3984375" style="1431" bestFit="1" customWidth="1"/>
    <col min="9221" max="9223" width="6.69921875" style="1431" customWidth="1"/>
    <col min="9224" max="9472" width="8.796875" style="1431"/>
    <col min="9473" max="9473" width="11.5" style="1431" customWidth="1"/>
    <col min="9474" max="9474" width="9" style="1431" customWidth="1"/>
    <col min="9475" max="9476" width="5.3984375" style="1431" bestFit="1" customWidth="1"/>
    <col min="9477" max="9479" width="6.69921875" style="1431" customWidth="1"/>
    <col min="9480" max="9728" width="8.796875" style="1431"/>
    <col min="9729" max="9729" width="11.5" style="1431" customWidth="1"/>
    <col min="9730" max="9730" width="9" style="1431" customWidth="1"/>
    <col min="9731" max="9732" width="5.3984375" style="1431" bestFit="1" customWidth="1"/>
    <col min="9733" max="9735" width="6.69921875" style="1431" customWidth="1"/>
    <col min="9736" max="9984" width="8.796875" style="1431"/>
    <col min="9985" max="9985" width="11.5" style="1431" customWidth="1"/>
    <col min="9986" max="9986" width="9" style="1431" customWidth="1"/>
    <col min="9987" max="9988" width="5.3984375" style="1431" bestFit="1" customWidth="1"/>
    <col min="9989" max="9991" width="6.69921875" style="1431" customWidth="1"/>
    <col min="9992" max="10240" width="8.796875" style="1431"/>
    <col min="10241" max="10241" width="11.5" style="1431" customWidth="1"/>
    <col min="10242" max="10242" width="9" style="1431" customWidth="1"/>
    <col min="10243" max="10244" width="5.3984375" style="1431" bestFit="1" customWidth="1"/>
    <col min="10245" max="10247" width="6.69921875" style="1431" customWidth="1"/>
    <col min="10248" max="10496" width="8.796875" style="1431"/>
    <col min="10497" max="10497" width="11.5" style="1431" customWidth="1"/>
    <col min="10498" max="10498" width="9" style="1431" customWidth="1"/>
    <col min="10499" max="10500" width="5.3984375" style="1431" bestFit="1" customWidth="1"/>
    <col min="10501" max="10503" width="6.69921875" style="1431" customWidth="1"/>
    <col min="10504" max="10752" width="8.796875" style="1431"/>
    <col min="10753" max="10753" width="11.5" style="1431" customWidth="1"/>
    <col min="10754" max="10754" width="9" style="1431" customWidth="1"/>
    <col min="10755" max="10756" width="5.3984375" style="1431" bestFit="1" customWidth="1"/>
    <col min="10757" max="10759" width="6.69921875" style="1431" customWidth="1"/>
    <col min="10760" max="11008" width="8.796875" style="1431"/>
    <col min="11009" max="11009" width="11.5" style="1431" customWidth="1"/>
    <col min="11010" max="11010" width="9" style="1431" customWidth="1"/>
    <col min="11011" max="11012" width="5.3984375" style="1431" bestFit="1" customWidth="1"/>
    <col min="11013" max="11015" width="6.69921875" style="1431" customWidth="1"/>
    <col min="11016" max="11264" width="8.796875" style="1431"/>
    <col min="11265" max="11265" width="11.5" style="1431" customWidth="1"/>
    <col min="11266" max="11266" width="9" style="1431" customWidth="1"/>
    <col min="11267" max="11268" width="5.3984375" style="1431" bestFit="1" customWidth="1"/>
    <col min="11269" max="11271" width="6.69921875" style="1431" customWidth="1"/>
    <col min="11272" max="11520" width="8.796875" style="1431"/>
    <col min="11521" max="11521" width="11.5" style="1431" customWidth="1"/>
    <col min="11522" max="11522" width="9" style="1431" customWidth="1"/>
    <col min="11523" max="11524" width="5.3984375" style="1431" bestFit="1" customWidth="1"/>
    <col min="11525" max="11527" width="6.69921875" style="1431" customWidth="1"/>
    <col min="11528" max="11776" width="8.796875" style="1431"/>
    <col min="11777" max="11777" width="11.5" style="1431" customWidth="1"/>
    <col min="11778" max="11778" width="9" style="1431" customWidth="1"/>
    <col min="11779" max="11780" width="5.3984375" style="1431" bestFit="1" customWidth="1"/>
    <col min="11781" max="11783" width="6.69921875" style="1431" customWidth="1"/>
    <col min="11784" max="12032" width="8.796875" style="1431"/>
    <col min="12033" max="12033" width="11.5" style="1431" customWidth="1"/>
    <col min="12034" max="12034" width="9" style="1431" customWidth="1"/>
    <col min="12035" max="12036" width="5.3984375" style="1431" bestFit="1" customWidth="1"/>
    <col min="12037" max="12039" width="6.69921875" style="1431" customWidth="1"/>
    <col min="12040" max="12288" width="8.796875" style="1431"/>
    <col min="12289" max="12289" width="11.5" style="1431" customWidth="1"/>
    <col min="12290" max="12290" width="9" style="1431" customWidth="1"/>
    <col min="12291" max="12292" width="5.3984375" style="1431" bestFit="1" customWidth="1"/>
    <col min="12293" max="12295" width="6.69921875" style="1431" customWidth="1"/>
    <col min="12296" max="12544" width="8.796875" style="1431"/>
    <col min="12545" max="12545" width="11.5" style="1431" customWidth="1"/>
    <col min="12546" max="12546" width="9" style="1431" customWidth="1"/>
    <col min="12547" max="12548" width="5.3984375" style="1431" bestFit="1" customWidth="1"/>
    <col min="12549" max="12551" width="6.69921875" style="1431" customWidth="1"/>
    <col min="12552" max="12800" width="8.796875" style="1431"/>
    <col min="12801" max="12801" width="11.5" style="1431" customWidth="1"/>
    <col min="12802" max="12802" width="9" style="1431" customWidth="1"/>
    <col min="12803" max="12804" width="5.3984375" style="1431" bestFit="1" customWidth="1"/>
    <col min="12805" max="12807" width="6.69921875" style="1431" customWidth="1"/>
    <col min="12808" max="13056" width="8.796875" style="1431"/>
    <col min="13057" max="13057" width="11.5" style="1431" customWidth="1"/>
    <col min="13058" max="13058" width="9" style="1431" customWidth="1"/>
    <col min="13059" max="13060" width="5.3984375" style="1431" bestFit="1" customWidth="1"/>
    <col min="13061" max="13063" width="6.69921875" style="1431" customWidth="1"/>
    <col min="13064" max="13312" width="8.796875" style="1431"/>
    <col min="13313" max="13313" width="11.5" style="1431" customWidth="1"/>
    <col min="13314" max="13314" width="9" style="1431" customWidth="1"/>
    <col min="13315" max="13316" width="5.3984375" style="1431" bestFit="1" customWidth="1"/>
    <col min="13317" max="13319" width="6.69921875" style="1431" customWidth="1"/>
    <col min="13320" max="13568" width="8.796875" style="1431"/>
    <col min="13569" max="13569" width="11.5" style="1431" customWidth="1"/>
    <col min="13570" max="13570" width="9" style="1431" customWidth="1"/>
    <col min="13571" max="13572" width="5.3984375" style="1431" bestFit="1" customWidth="1"/>
    <col min="13573" max="13575" width="6.69921875" style="1431" customWidth="1"/>
    <col min="13576" max="13824" width="8.796875" style="1431"/>
    <col min="13825" max="13825" width="11.5" style="1431" customWidth="1"/>
    <col min="13826" max="13826" width="9" style="1431" customWidth="1"/>
    <col min="13827" max="13828" width="5.3984375" style="1431" bestFit="1" customWidth="1"/>
    <col min="13829" max="13831" width="6.69921875" style="1431" customWidth="1"/>
    <col min="13832" max="14080" width="8.796875" style="1431"/>
    <col min="14081" max="14081" width="11.5" style="1431" customWidth="1"/>
    <col min="14082" max="14082" width="9" style="1431" customWidth="1"/>
    <col min="14083" max="14084" width="5.3984375" style="1431" bestFit="1" customWidth="1"/>
    <col min="14085" max="14087" width="6.69921875" style="1431" customWidth="1"/>
    <col min="14088" max="14336" width="8.796875" style="1431"/>
    <col min="14337" max="14337" width="11.5" style="1431" customWidth="1"/>
    <col min="14338" max="14338" width="9" style="1431" customWidth="1"/>
    <col min="14339" max="14340" width="5.3984375" style="1431" bestFit="1" customWidth="1"/>
    <col min="14341" max="14343" width="6.69921875" style="1431" customWidth="1"/>
    <col min="14344" max="14592" width="8.796875" style="1431"/>
    <col min="14593" max="14593" width="11.5" style="1431" customWidth="1"/>
    <col min="14594" max="14594" width="9" style="1431" customWidth="1"/>
    <col min="14595" max="14596" width="5.3984375" style="1431" bestFit="1" customWidth="1"/>
    <col min="14597" max="14599" width="6.69921875" style="1431" customWidth="1"/>
    <col min="14600" max="14848" width="8.796875" style="1431"/>
    <col min="14849" max="14849" width="11.5" style="1431" customWidth="1"/>
    <col min="14850" max="14850" width="9" style="1431" customWidth="1"/>
    <col min="14851" max="14852" width="5.3984375" style="1431" bestFit="1" customWidth="1"/>
    <col min="14853" max="14855" width="6.69921875" style="1431" customWidth="1"/>
    <col min="14856" max="15104" width="8.796875" style="1431"/>
    <col min="15105" max="15105" width="11.5" style="1431" customWidth="1"/>
    <col min="15106" max="15106" width="9" style="1431" customWidth="1"/>
    <col min="15107" max="15108" width="5.3984375" style="1431" bestFit="1" customWidth="1"/>
    <col min="15109" max="15111" width="6.69921875" style="1431" customWidth="1"/>
    <col min="15112" max="15360" width="8.796875" style="1431"/>
    <col min="15361" max="15361" width="11.5" style="1431" customWidth="1"/>
    <col min="15362" max="15362" width="9" style="1431" customWidth="1"/>
    <col min="15363" max="15364" width="5.3984375" style="1431" bestFit="1" customWidth="1"/>
    <col min="15365" max="15367" width="6.69921875" style="1431" customWidth="1"/>
    <col min="15368" max="15616" width="8.796875" style="1431"/>
    <col min="15617" max="15617" width="11.5" style="1431" customWidth="1"/>
    <col min="15618" max="15618" width="9" style="1431" customWidth="1"/>
    <col min="15619" max="15620" width="5.3984375" style="1431" bestFit="1" customWidth="1"/>
    <col min="15621" max="15623" width="6.69921875" style="1431" customWidth="1"/>
    <col min="15624" max="15872" width="8.796875" style="1431"/>
    <col min="15873" max="15873" width="11.5" style="1431" customWidth="1"/>
    <col min="15874" max="15874" width="9" style="1431" customWidth="1"/>
    <col min="15875" max="15876" width="5.3984375" style="1431" bestFit="1" customWidth="1"/>
    <col min="15877" max="15879" width="6.69921875" style="1431" customWidth="1"/>
    <col min="15880" max="16128" width="8.796875" style="1431"/>
    <col min="16129" max="16129" width="11.5" style="1431" customWidth="1"/>
    <col min="16130" max="16130" width="9" style="1431" customWidth="1"/>
    <col min="16131" max="16132" width="5.3984375" style="1431" bestFit="1" customWidth="1"/>
    <col min="16133" max="16135" width="6.69921875" style="1431" customWidth="1"/>
    <col min="16136" max="16384" width="8.796875" style="1431"/>
  </cols>
  <sheetData>
    <row r="1" spans="1:10" ht="30" customHeight="1" thickBot="1">
      <c r="A1" s="1429" t="s">
        <v>2879</v>
      </c>
      <c r="B1" s="1429"/>
      <c r="J1" s="1914" t="s">
        <v>2880</v>
      </c>
    </row>
    <row r="2" spans="1:10" s="1236" customFormat="1" ht="10.8">
      <c r="A2" s="2522" t="s">
        <v>2881</v>
      </c>
      <c r="B2" s="2503" t="s">
        <v>2882</v>
      </c>
      <c r="C2" s="2503" t="s">
        <v>839</v>
      </c>
      <c r="D2" s="2503" t="s">
        <v>857</v>
      </c>
      <c r="E2" s="2524" t="s">
        <v>2883</v>
      </c>
      <c r="F2" s="2525"/>
      <c r="G2" s="2526"/>
      <c r="H2" s="2515" t="s">
        <v>2884</v>
      </c>
      <c r="I2" s="2515" t="s">
        <v>2885</v>
      </c>
      <c r="J2" s="2517" t="s">
        <v>2886</v>
      </c>
    </row>
    <row r="3" spans="1:10" s="1236" customFormat="1" ht="10.8">
      <c r="A3" s="2523"/>
      <c r="B3" s="2440"/>
      <c r="C3" s="2440"/>
      <c r="D3" s="2440"/>
      <c r="E3" s="2519" t="s">
        <v>2887</v>
      </c>
      <c r="F3" s="2520"/>
      <c r="G3" s="2521"/>
      <c r="H3" s="2516"/>
      <c r="I3" s="2516"/>
      <c r="J3" s="2518"/>
    </row>
    <row r="4" spans="1:10" s="1236" customFormat="1" ht="10.8">
      <c r="A4" s="2471"/>
      <c r="B4" s="2441"/>
      <c r="C4" s="2441"/>
      <c r="D4" s="2441"/>
      <c r="E4" s="1272" t="s">
        <v>843</v>
      </c>
      <c r="F4" s="1272" t="s">
        <v>164</v>
      </c>
      <c r="G4" s="1468" t="s">
        <v>165</v>
      </c>
      <c r="H4" s="2441"/>
      <c r="I4" s="2441"/>
      <c r="J4" s="2446"/>
    </row>
    <row r="5" spans="1:10" s="1236" customFormat="1" ht="10.8">
      <c r="B5" s="1241"/>
      <c r="C5" s="1275" t="s">
        <v>850</v>
      </c>
      <c r="D5" s="1275" t="s">
        <v>167</v>
      </c>
      <c r="E5" s="1275" t="s">
        <v>167</v>
      </c>
      <c r="F5" s="1275" t="s">
        <v>167</v>
      </c>
      <c r="G5" s="1472" t="s">
        <v>167</v>
      </c>
      <c r="H5" s="1275" t="s">
        <v>1471</v>
      </c>
      <c r="I5" s="1275" t="s">
        <v>1471</v>
      </c>
      <c r="J5" s="1473" t="s">
        <v>1471</v>
      </c>
    </row>
    <row r="6" spans="1:10" s="1236" customFormat="1" ht="19.2" customHeight="1">
      <c r="A6" s="1454" t="s">
        <v>2888</v>
      </c>
      <c r="B6" s="1501" t="s">
        <v>2889</v>
      </c>
      <c r="C6" s="1915">
        <v>10</v>
      </c>
      <c r="D6" s="1915">
        <v>14</v>
      </c>
      <c r="E6" s="1692">
        <v>131</v>
      </c>
      <c r="F6" s="1692">
        <v>69</v>
      </c>
      <c r="G6" s="1916">
        <v>62</v>
      </c>
      <c r="H6" s="607">
        <v>5899</v>
      </c>
      <c r="I6" s="607">
        <v>1002</v>
      </c>
      <c r="J6" s="1917">
        <v>13715</v>
      </c>
    </row>
    <row r="7" spans="1:10" s="1236" customFormat="1" ht="19.2" customHeight="1">
      <c r="A7" s="1454" t="s">
        <v>2890</v>
      </c>
      <c r="B7" s="1501" t="s">
        <v>2891</v>
      </c>
      <c r="C7" s="1915">
        <v>15</v>
      </c>
      <c r="D7" s="1915">
        <v>24</v>
      </c>
      <c r="E7" s="1692">
        <v>258</v>
      </c>
      <c r="F7" s="1692">
        <v>139</v>
      </c>
      <c r="G7" s="1916">
        <v>119</v>
      </c>
      <c r="H7" s="607">
        <v>7360</v>
      </c>
      <c r="I7" s="607">
        <v>1486</v>
      </c>
      <c r="J7" s="1917">
        <v>13169</v>
      </c>
    </row>
    <row r="8" spans="1:10" s="1236" customFormat="1" ht="19.2" customHeight="1">
      <c r="A8" s="1454" t="s">
        <v>2892</v>
      </c>
      <c r="B8" s="1501" t="s">
        <v>2893</v>
      </c>
      <c r="C8" s="1915">
        <v>14</v>
      </c>
      <c r="D8" s="1915">
        <v>24</v>
      </c>
      <c r="E8" s="1692">
        <v>242</v>
      </c>
      <c r="F8" s="1692">
        <v>129</v>
      </c>
      <c r="G8" s="1916">
        <v>113</v>
      </c>
      <c r="H8" s="607">
        <v>5812</v>
      </c>
      <c r="I8" s="607">
        <v>1247</v>
      </c>
      <c r="J8" s="1917">
        <v>9275</v>
      </c>
    </row>
    <row r="9" spans="1:10" s="1236" customFormat="1" ht="19.2" customHeight="1">
      <c r="A9" s="1454" t="s">
        <v>2894</v>
      </c>
      <c r="B9" s="1501" t="s">
        <v>2895</v>
      </c>
      <c r="C9" s="1915">
        <v>15</v>
      </c>
      <c r="D9" s="1915">
        <v>22</v>
      </c>
      <c r="E9" s="1692">
        <v>245</v>
      </c>
      <c r="F9" s="1692">
        <v>129</v>
      </c>
      <c r="G9" s="1916">
        <v>116</v>
      </c>
      <c r="H9" s="607">
        <v>6626</v>
      </c>
      <c r="I9" s="607">
        <v>1051</v>
      </c>
      <c r="J9" s="1917">
        <v>11750</v>
      </c>
    </row>
    <row r="10" spans="1:10" s="1236" customFormat="1" ht="19.2" customHeight="1">
      <c r="A10" s="1454" t="s">
        <v>2896</v>
      </c>
      <c r="B10" s="1501" t="s">
        <v>2897</v>
      </c>
      <c r="C10" s="1923" t="s">
        <v>2898</v>
      </c>
      <c r="D10" s="1915"/>
      <c r="E10" s="1692"/>
      <c r="F10" s="1692"/>
      <c r="G10" s="1916"/>
      <c r="H10" s="607"/>
      <c r="I10" s="607"/>
      <c r="J10" s="1917"/>
    </row>
    <row r="11" spans="1:10" s="1236" customFormat="1" ht="19.2" customHeight="1">
      <c r="A11" s="1454" t="s">
        <v>2899</v>
      </c>
      <c r="B11" s="1501" t="s">
        <v>2900</v>
      </c>
      <c r="C11" s="1923" t="s">
        <v>2901</v>
      </c>
      <c r="D11" s="1915"/>
      <c r="E11" s="1692"/>
      <c r="F11" s="1692"/>
      <c r="G11" s="1916"/>
      <c r="H11" s="607"/>
      <c r="I11" s="607"/>
      <c r="J11" s="1917"/>
    </row>
    <row r="12" spans="1:10" s="1236" customFormat="1" ht="19.2" customHeight="1">
      <c r="A12" s="1454" t="s">
        <v>2902</v>
      </c>
      <c r="B12" s="1501" t="s">
        <v>2903</v>
      </c>
      <c r="C12" s="1923" t="s">
        <v>2904</v>
      </c>
      <c r="D12" s="1915"/>
      <c r="E12" s="1692"/>
      <c r="F12" s="1692"/>
      <c r="G12" s="1916"/>
      <c r="H12" s="607"/>
      <c r="I12" s="607"/>
      <c r="J12" s="1917"/>
    </row>
    <row r="13" spans="1:10" s="1236" customFormat="1" ht="19.2" customHeight="1">
      <c r="A13" s="1454" t="s">
        <v>2905</v>
      </c>
      <c r="B13" s="1501" t="s">
        <v>2906</v>
      </c>
      <c r="C13" s="1923" t="s">
        <v>2904</v>
      </c>
      <c r="D13" s="1915"/>
      <c r="E13" s="1692"/>
      <c r="F13" s="1692"/>
      <c r="G13" s="1916"/>
      <c r="H13" s="607"/>
      <c r="I13" s="607"/>
      <c r="J13" s="1917"/>
    </row>
    <row r="14" spans="1:10" s="1236" customFormat="1" ht="19.2" customHeight="1">
      <c r="A14" s="1454" t="s">
        <v>2907</v>
      </c>
      <c r="B14" s="1501" t="s">
        <v>2908</v>
      </c>
      <c r="C14" s="1915">
        <v>21</v>
      </c>
      <c r="D14" s="1915">
        <v>43</v>
      </c>
      <c r="E14" s="1692">
        <v>500</v>
      </c>
      <c r="F14" s="1692">
        <v>262</v>
      </c>
      <c r="G14" s="1916">
        <v>238</v>
      </c>
      <c r="H14" s="607">
        <v>6983</v>
      </c>
      <c r="I14" s="607">
        <v>2192</v>
      </c>
      <c r="J14" s="1917">
        <v>15779</v>
      </c>
    </row>
    <row r="15" spans="1:10" s="1236" customFormat="1" ht="19.2" customHeight="1">
      <c r="A15" s="1454" t="s">
        <v>2909</v>
      </c>
      <c r="B15" s="1501" t="s">
        <v>2908</v>
      </c>
      <c r="C15" s="1915">
        <v>10</v>
      </c>
      <c r="D15" s="1915">
        <v>21</v>
      </c>
      <c r="E15" s="1692">
        <v>67</v>
      </c>
      <c r="F15" s="1692">
        <v>35</v>
      </c>
      <c r="G15" s="1916">
        <v>32</v>
      </c>
      <c r="H15" s="607">
        <v>5028</v>
      </c>
      <c r="I15" s="607">
        <v>2225</v>
      </c>
      <c r="J15" s="1917">
        <v>17578</v>
      </c>
    </row>
    <row r="16" spans="1:10" s="1236" customFormat="1" ht="19.2" customHeight="1">
      <c r="A16" s="1454" t="s">
        <v>2910</v>
      </c>
      <c r="B16" s="1501" t="s">
        <v>2895</v>
      </c>
      <c r="C16" s="1915">
        <v>13</v>
      </c>
      <c r="D16" s="1915">
        <v>26</v>
      </c>
      <c r="E16" s="1692">
        <v>98</v>
      </c>
      <c r="F16" s="1692">
        <v>54</v>
      </c>
      <c r="G16" s="1916">
        <v>44</v>
      </c>
      <c r="H16" s="607">
        <v>2015</v>
      </c>
      <c r="I16" s="607">
        <v>1227</v>
      </c>
      <c r="J16" s="1917">
        <v>11956</v>
      </c>
    </row>
    <row r="17" spans="1:10" s="1236" customFormat="1" ht="19.2" customHeight="1">
      <c r="A17" s="1454" t="s">
        <v>2911</v>
      </c>
      <c r="B17" s="1918" t="s">
        <v>2912</v>
      </c>
      <c r="C17" s="1915">
        <v>15</v>
      </c>
      <c r="D17" s="1915">
        <v>53</v>
      </c>
      <c r="E17" s="1692">
        <v>589</v>
      </c>
      <c r="F17" s="1692">
        <v>286</v>
      </c>
      <c r="G17" s="1916">
        <v>303</v>
      </c>
      <c r="H17" s="607">
        <v>9182</v>
      </c>
      <c r="I17" s="607">
        <v>1007</v>
      </c>
      <c r="J17" s="1917">
        <v>18422</v>
      </c>
    </row>
    <row r="18" spans="1:10" s="1236" customFormat="1" ht="19.2" customHeight="1">
      <c r="A18" s="1454" t="s">
        <v>2913</v>
      </c>
      <c r="B18" s="1501" t="s">
        <v>2914</v>
      </c>
      <c r="C18" s="1915">
        <v>4</v>
      </c>
      <c r="D18" s="1915">
        <v>15</v>
      </c>
      <c r="E18" s="1692">
        <v>42</v>
      </c>
      <c r="F18" s="1692">
        <v>19</v>
      </c>
      <c r="G18" s="1916">
        <v>23</v>
      </c>
      <c r="H18" s="607">
        <v>837</v>
      </c>
      <c r="I18" s="1919" t="s">
        <v>384</v>
      </c>
      <c r="J18" s="1917">
        <v>1292</v>
      </c>
    </row>
    <row r="19" spans="1:10" s="1236" customFormat="1" ht="19.2" customHeight="1">
      <c r="A19" s="1454" t="s">
        <v>2915</v>
      </c>
      <c r="B19" s="1501" t="s">
        <v>2916</v>
      </c>
      <c r="C19" s="1915">
        <v>3</v>
      </c>
      <c r="D19" s="1915">
        <v>13</v>
      </c>
      <c r="E19" s="1692">
        <v>61</v>
      </c>
      <c r="F19" s="1692">
        <v>34</v>
      </c>
      <c r="G19" s="1916">
        <v>27</v>
      </c>
      <c r="H19" s="607">
        <v>391</v>
      </c>
      <c r="I19" s="607">
        <v>107</v>
      </c>
      <c r="J19" s="1917">
        <v>1440</v>
      </c>
    </row>
    <row r="20" spans="1:10" s="1236" customFormat="1" ht="19.2" customHeight="1" thickBot="1">
      <c r="A20" s="1716" t="s">
        <v>2917</v>
      </c>
      <c r="B20" s="1505" t="s">
        <v>2918</v>
      </c>
      <c r="C20" s="1920">
        <v>4</v>
      </c>
      <c r="D20" s="1920">
        <v>14</v>
      </c>
      <c r="E20" s="1692">
        <v>56</v>
      </c>
      <c r="F20" s="1698">
        <v>34</v>
      </c>
      <c r="G20" s="1921">
        <v>22</v>
      </c>
      <c r="H20" s="610">
        <v>505</v>
      </c>
      <c r="I20" s="610">
        <v>151</v>
      </c>
      <c r="J20" s="1922">
        <v>1656</v>
      </c>
    </row>
    <row r="21" spans="1:10" s="1236" customFormat="1" ht="15" customHeight="1">
      <c r="A21" s="1479" t="s">
        <v>3679</v>
      </c>
      <c r="B21" s="1479"/>
      <c r="C21" s="1479"/>
      <c r="D21" s="1479"/>
      <c r="E21" s="1479"/>
      <c r="F21" s="1479"/>
      <c r="G21" s="1479"/>
    </row>
    <row r="22" spans="1:10" s="1236" customFormat="1" ht="15" customHeight="1">
      <c r="A22" s="1451" t="s">
        <v>2919</v>
      </c>
      <c r="B22" s="1451"/>
      <c r="C22" s="1451"/>
    </row>
    <row r="23" spans="1:10" ht="15" customHeight="1">
      <c r="A23" s="1236" t="s">
        <v>2920</v>
      </c>
    </row>
  </sheetData>
  <mergeCells count="9">
    <mergeCell ref="I2:I4"/>
    <mergeCell ref="J2:J4"/>
    <mergeCell ref="E3:G3"/>
    <mergeCell ref="A2:A4"/>
    <mergeCell ref="B2:B4"/>
    <mergeCell ref="C2:C4"/>
    <mergeCell ref="D2:D4"/>
    <mergeCell ref="E2:G2"/>
    <mergeCell ref="H2:H4"/>
  </mergeCells>
  <phoneticPr fontId="4"/>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75422-0E1A-4107-B0A1-E8342C651FA8}">
  <sheetPr codeName="Sheet39">
    <pageSetUpPr fitToPage="1"/>
  </sheetPr>
  <dimension ref="A1:L14"/>
  <sheetViews>
    <sheetView showGridLines="0" workbookViewId="0"/>
  </sheetViews>
  <sheetFormatPr defaultRowHeight="13.2"/>
  <cols>
    <col min="1" max="1" width="9" style="2"/>
    <col min="2" max="3" width="5" style="2" customWidth="1"/>
    <col min="4" max="12" width="7.3984375" style="2" customWidth="1"/>
    <col min="13" max="257" width="9" style="2"/>
    <col min="258" max="259" width="5" style="2" customWidth="1"/>
    <col min="260" max="268" width="7.3984375" style="2" customWidth="1"/>
    <col min="269" max="513" width="9" style="2"/>
    <col min="514" max="515" width="5" style="2" customWidth="1"/>
    <col min="516" max="524" width="7.3984375" style="2" customWidth="1"/>
    <col min="525" max="769" width="9" style="2"/>
    <col min="770" max="771" width="5" style="2" customWidth="1"/>
    <col min="772" max="780" width="7.3984375" style="2" customWidth="1"/>
    <col min="781" max="1025" width="9" style="2"/>
    <col min="1026" max="1027" width="5" style="2" customWidth="1"/>
    <col min="1028" max="1036" width="7.3984375" style="2" customWidth="1"/>
    <col min="1037" max="1281" width="9" style="2"/>
    <col min="1282" max="1283" width="5" style="2" customWidth="1"/>
    <col min="1284" max="1292" width="7.3984375" style="2" customWidth="1"/>
    <col min="1293" max="1537" width="9" style="2"/>
    <col min="1538" max="1539" width="5" style="2" customWidth="1"/>
    <col min="1540" max="1548" width="7.3984375" style="2" customWidth="1"/>
    <col min="1549" max="1793" width="9" style="2"/>
    <col min="1794" max="1795" width="5" style="2" customWidth="1"/>
    <col min="1796" max="1804" width="7.3984375" style="2" customWidth="1"/>
    <col min="1805" max="2049" width="9" style="2"/>
    <col min="2050" max="2051" width="5" style="2" customWidth="1"/>
    <col min="2052" max="2060" width="7.3984375" style="2" customWidth="1"/>
    <col min="2061" max="2305" width="9" style="2"/>
    <col min="2306" max="2307" width="5" style="2" customWidth="1"/>
    <col min="2308" max="2316" width="7.3984375" style="2" customWidth="1"/>
    <col min="2317" max="2561" width="9" style="2"/>
    <col min="2562" max="2563" width="5" style="2" customWidth="1"/>
    <col min="2564" max="2572" width="7.3984375" style="2" customWidth="1"/>
    <col min="2573" max="2817" width="9" style="2"/>
    <col min="2818" max="2819" width="5" style="2" customWidth="1"/>
    <col min="2820" max="2828" width="7.3984375" style="2" customWidth="1"/>
    <col min="2829" max="3073" width="9" style="2"/>
    <col min="3074" max="3075" width="5" style="2" customWidth="1"/>
    <col min="3076" max="3084" width="7.3984375" style="2" customWidth="1"/>
    <col min="3085" max="3329" width="9" style="2"/>
    <col min="3330" max="3331" width="5" style="2" customWidth="1"/>
    <col min="3332" max="3340" width="7.3984375" style="2" customWidth="1"/>
    <col min="3341" max="3585" width="9" style="2"/>
    <col min="3586" max="3587" width="5" style="2" customWidth="1"/>
    <col min="3588" max="3596" width="7.3984375" style="2" customWidth="1"/>
    <col min="3597" max="3841" width="9" style="2"/>
    <col min="3842" max="3843" width="5" style="2" customWidth="1"/>
    <col min="3844" max="3852" width="7.3984375" style="2" customWidth="1"/>
    <col min="3853" max="4097" width="9" style="2"/>
    <col min="4098" max="4099" width="5" style="2" customWidth="1"/>
    <col min="4100" max="4108" width="7.3984375" style="2" customWidth="1"/>
    <col min="4109" max="4353" width="9" style="2"/>
    <col min="4354" max="4355" width="5" style="2" customWidth="1"/>
    <col min="4356" max="4364" width="7.3984375" style="2" customWidth="1"/>
    <col min="4365" max="4609" width="9" style="2"/>
    <col min="4610" max="4611" width="5" style="2" customWidth="1"/>
    <col min="4612" max="4620" width="7.3984375" style="2" customWidth="1"/>
    <col min="4621" max="4865" width="9" style="2"/>
    <col min="4866" max="4867" width="5" style="2" customWidth="1"/>
    <col min="4868" max="4876" width="7.3984375" style="2" customWidth="1"/>
    <col min="4877" max="5121" width="9" style="2"/>
    <col min="5122" max="5123" width="5" style="2" customWidth="1"/>
    <col min="5124" max="5132" width="7.3984375" style="2" customWidth="1"/>
    <col min="5133" max="5377" width="9" style="2"/>
    <col min="5378" max="5379" width="5" style="2" customWidth="1"/>
    <col min="5380" max="5388" width="7.3984375" style="2" customWidth="1"/>
    <col min="5389" max="5633" width="9" style="2"/>
    <col min="5634" max="5635" width="5" style="2" customWidth="1"/>
    <col min="5636" max="5644" width="7.3984375" style="2" customWidth="1"/>
    <col min="5645" max="5889" width="9" style="2"/>
    <col min="5890" max="5891" width="5" style="2" customWidth="1"/>
    <col min="5892" max="5900" width="7.3984375" style="2" customWidth="1"/>
    <col min="5901" max="6145" width="9" style="2"/>
    <col min="6146" max="6147" width="5" style="2" customWidth="1"/>
    <col min="6148" max="6156" width="7.3984375" style="2" customWidth="1"/>
    <col min="6157" max="6401" width="9" style="2"/>
    <col min="6402" max="6403" width="5" style="2" customWidth="1"/>
    <col min="6404" max="6412" width="7.3984375" style="2" customWidth="1"/>
    <col min="6413" max="6657" width="9" style="2"/>
    <col min="6658" max="6659" width="5" style="2" customWidth="1"/>
    <col min="6660" max="6668" width="7.3984375" style="2" customWidth="1"/>
    <col min="6669" max="6913" width="9" style="2"/>
    <col min="6914" max="6915" width="5" style="2" customWidth="1"/>
    <col min="6916" max="6924" width="7.3984375" style="2" customWidth="1"/>
    <col min="6925" max="7169" width="9" style="2"/>
    <col min="7170" max="7171" width="5" style="2" customWidth="1"/>
    <col min="7172" max="7180" width="7.3984375" style="2" customWidth="1"/>
    <col min="7181" max="7425" width="9" style="2"/>
    <col min="7426" max="7427" width="5" style="2" customWidth="1"/>
    <col min="7428" max="7436" width="7.3984375" style="2" customWidth="1"/>
    <col min="7437" max="7681" width="9" style="2"/>
    <col min="7682" max="7683" width="5" style="2" customWidth="1"/>
    <col min="7684" max="7692" width="7.3984375" style="2" customWidth="1"/>
    <col min="7693" max="7937" width="9" style="2"/>
    <col min="7938" max="7939" width="5" style="2" customWidth="1"/>
    <col min="7940" max="7948" width="7.3984375" style="2" customWidth="1"/>
    <col min="7949" max="8193" width="9" style="2"/>
    <col min="8194" max="8195" width="5" style="2" customWidth="1"/>
    <col min="8196" max="8204" width="7.3984375" style="2" customWidth="1"/>
    <col min="8205" max="8449" width="9" style="2"/>
    <col min="8450" max="8451" width="5" style="2" customWidth="1"/>
    <col min="8452" max="8460" width="7.3984375" style="2" customWidth="1"/>
    <col min="8461" max="8705" width="9" style="2"/>
    <col min="8706" max="8707" width="5" style="2" customWidth="1"/>
    <col min="8708" max="8716" width="7.3984375" style="2" customWidth="1"/>
    <col min="8717" max="8961" width="9" style="2"/>
    <col min="8962" max="8963" width="5" style="2" customWidth="1"/>
    <col min="8964" max="8972" width="7.3984375" style="2" customWidth="1"/>
    <col min="8973" max="9217" width="9" style="2"/>
    <col min="9218" max="9219" width="5" style="2" customWidth="1"/>
    <col min="9220" max="9228" width="7.3984375" style="2" customWidth="1"/>
    <col min="9229" max="9473" width="9" style="2"/>
    <col min="9474" max="9475" width="5" style="2" customWidth="1"/>
    <col min="9476" max="9484" width="7.3984375" style="2" customWidth="1"/>
    <col min="9485" max="9729" width="9" style="2"/>
    <col min="9730" max="9731" width="5" style="2" customWidth="1"/>
    <col min="9732" max="9740" width="7.3984375" style="2" customWidth="1"/>
    <col min="9741" max="9985" width="9" style="2"/>
    <col min="9986" max="9987" width="5" style="2" customWidth="1"/>
    <col min="9988" max="9996" width="7.3984375" style="2" customWidth="1"/>
    <col min="9997" max="10241" width="9" style="2"/>
    <col min="10242" max="10243" width="5" style="2" customWidth="1"/>
    <col min="10244" max="10252" width="7.3984375" style="2" customWidth="1"/>
    <col min="10253" max="10497" width="9" style="2"/>
    <col min="10498" max="10499" width="5" style="2" customWidth="1"/>
    <col min="10500" max="10508" width="7.3984375" style="2" customWidth="1"/>
    <col min="10509" max="10753" width="9" style="2"/>
    <col min="10754" max="10755" width="5" style="2" customWidth="1"/>
    <col min="10756" max="10764" width="7.3984375" style="2" customWidth="1"/>
    <col min="10765" max="11009" width="9" style="2"/>
    <col min="11010" max="11011" width="5" style="2" customWidth="1"/>
    <col min="11012" max="11020" width="7.3984375" style="2" customWidth="1"/>
    <col min="11021" max="11265" width="9" style="2"/>
    <col min="11266" max="11267" width="5" style="2" customWidth="1"/>
    <col min="11268" max="11276" width="7.3984375" style="2" customWidth="1"/>
    <col min="11277" max="11521" width="9" style="2"/>
    <col min="11522" max="11523" width="5" style="2" customWidth="1"/>
    <col min="11524" max="11532" width="7.3984375" style="2" customWidth="1"/>
    <col min="11533" max="11777" width="9" style="2"/>
    <col min="11778" max="11779" width="5" style="2" customWidth="1"/>
    <col min="11780" max="11788" width="7.3984375" style="2" customWidth="1"/>
    <col min="11789" max="12033" width="9" style="2"/>
    <col min="12034" max="12035" width="5" style="2" customWidth="1"/>
    <col min="12036" max="12044" width="7.3984375" style="2" customWidth="1"/>
    <col min="12045" max="12289" width="9" style="2"/>
    <col min="12290" max="12291" width="5" style="2" customWidth="1"/>
    <col min="12292" max="12300" width="7.3984375" style="2" customWidth="1"/>
    <col min="12301" max="12545" width="9" style="2"/>
    <col min="12546" max="12547" width="5" style="2" customWidth="1"/>
    <col min="12548" max="12556" width="7.3984375" style="2" customWidth="1"/>
    <col min="12557" max="12801" width="9" style="2"/>
    <col min="12802" max="12803" width="5" style="2" customWidth="1"/>
    <col min="12804" max="12812" width="7.3984375" style="2" customWidth="1"/>
    <col min="12813" max="13057" width="9" style="2"/>
    <col min="13058" max="13059" width="5" style="2" customWidth="1"/>
    <col min="13060" max="13068" width="7.3984375" style="2" customWidth="1"/>
    <col min="13069" max="13313" width="9" style="2"/>
    <col min="13314" max="13315" width="5" style="2" customWidth="1"/>
    <col min="13316" max="13324" width="7.3984375" style="2" customWidth="1"/>
    <col min="13325" max="13569" width="9" style="2"/>
    <col min="13570" max="13571" width="5" style="2" customWidth="1"/>
    <col min="13572" max="13580" width="7.3984375" style="2" customWidth="1"/>
    <col min="13581" max="13825" width="9" style="2"/>
    <col min="13826" max="13827" width="5" style="2" customWidth="1"/>
    <col min="13828" max="13836" width="7.3984375" style="2" customWidth="1"/>
    <col min="13837" max="14081" width="9" style="2"/>
    <col min="14082" max="14083" width="5" style="2" customWidth="1"/>
    <col min="14084" max="14092" width="7.3984375" style="2" customWidth="1"/>
    <col min="14093" max="14337" width="9" style="2"/>
    <col min="14338" max="14339" width="5" style="2" customWidth="1"/>
    <col min="14340" max="14348" width="7.3984375" style="2" customWidth="1"/>
    <col min="14349" max="14593" width="9" style="2"/>
    <col min="14594" max="14595" width="5" style="2" customWidth="1"/>
    <col min="14596" max="14604" width="7.3984375" style="2" customWidth="1"/>
    <col min="14605" max="14849" width="9" style="2"/>
    <col min="14850" max="14851" width="5" style="2" customWidth="1"/>
    <col min="14852" max="14860" width="7.3984375" style="2" customWidth="1"/>
    <col min="14861" max="15105" width="9" style="2"/>
    <col min="15106" max="15107" width="5" style="2" customWidth="1"/>
    <col min="15108" max="15116" width="7.3984375" style="2" customWidth="1"/>
    <col min="15117" max="15361" width="9" style="2"/>
    <col min="15362" max="15363" width="5" style="2" customWidth="1"/>
    <col min="15364" max="15372" width="7.3984375" style="2" customWidth="1"/>
    <col min="15373" max="15617" width="9" style="2"/>
    <col min="15618" max="15619" width="5" style="2" customWidth="1"/>
    <col min="15620" max="15628" width="7.3984375" style="2" customWidth="1"/>
    <col min="15629" max="15873" width="9" style="2"/>
    <col min="15874" max="15875" width="5" style="2" customWidth="1"/>
    <col min="15876" max="15884" width="7.3984375" style="2" customWidth="1"/>
    <col min="15885" max="16129" width="9" style="2"/>
    <col min="16130" max="16131" width="5" style="2" customWidth="1"/>
    <col min="16132" max="16140" width="7.3984375" style="2" customWidth="1"/>
    <col min="16141" max="16384" width="9" style="2"/>
  </cols>
  <sheetData>
    <row r="1" spans="1:12" ht="27" customHeight="1">
      <c r="A1" s="2155" t="s">
        <v>835</v>
      </c>
      <c r="B1" s="2155"/>
      <c r="C1" s="2155"/>
      <c r="D1" s="2155"/>
      <c r="E1" s="2156"/>
    </row>
    <row r="2" spans="1:12" ht="23.25" customHeight="1" thickBot="1">
      <c r="A2" s="259"/>
      <c r="B2" s="259"/>
      <c r="C2" s="259"/>
      <c r="D2" s="259"/>
      <c r="E2" s="82"/>
      <c r="K2" s="2222" t="s">
        <v>836</v>
      </c>
      <c r="L2" s="2222"/>
    </row>
    <row r="3" spans="1:12" s="11" customFormat="1" ht="23.25" customHeight="1">
      <c r="A3" s="2180" t="s">
        <v>837</v>
      </c>
      <c r="B3" s="2527" t="s">
        <v>838</v>
      </c>
      <c r="C3" s="2527" t="s">
        <v>839</v>
      </c>
      <c r="D3" s="2529" t="s">
        <v>840</v>
      </c>
      <c r="E3" s="2530"/>
      <c r="F3" s="2530"/>
      <c r="G3" s="2531"/>
      <c r="H3" s="2529" t="s">
        <v>841</v>
      </c>
      <c r="I3" s="2531"/>
      <c r="J3" s="2529" t="s">
        <v>842</v>
      </c>
      <c r="K3" s="2530"/>
      <c r="L3" s="2530"/>
    </row>
    <row r="4" spans="1:12" s="11" customFormat="1" ht="53.25" customHeight="1">
      <c r="A4" s="2182"/>
      <c r="B4" s="2528"/>
      <c r="C4" s="2528"/>
      <c r="D4" s="245" t="s">
        <v>843</v>
      </c>
      <c r="E4" s="245" t="s">
        <v>164</v>
      </c>
      <c r="F4" s="245" t="s">
        <v>165</v>
      </c>
      <c r="G4" s="383" t="s">
        <v>844</v>
      </c>
      <c r="H4" s="255" t="s">
        <v>845</v>
      </c>
      <c r="I4" s="383" t="s">
        <v>846</v>
      </c>
      <c r="J4" s="245" t="s">
        <v>847</v>
      </c>
      <c r="K4" s="245" t="s">
        <v>848</v>
      </c>
      <c r="L4" s="242" t="s">
        <v>849</v>
      </c>
    </row>
    <row r="5" spans="1:12" s="11" customFormat="1" ht="23.25" customHeight="1">
      <c r="A5" s="218"/>
      <c r="B5" s="226"/>
      <c r="C5" s="245" t="s">
        <v>850</v>
      </c>
      <c r="D5" s="86" t="s">
        <v>167</v>
      </c>
      <c r="E5" s="86" t="s">
        <v>167</v>
      </c>
      <c r="F5" s="86" t="s">
        <v>167</v>
      </c>
      <c r="G5" s="35" t="s">
        <v>167</v>
      </c>
      <c r="H5" s="86" t="s">
        <v>167</v>
      </c>
      <c r="I5" s="35" t="s">
        <v>167</v>
      </c>
      <c r="J5" s="86" t="s">
        <v>167</v>
      </c>
      <c r="K5" s="86" t="s">
        <v>167</v>
      </c>
      <c r="L5" s="38" t="s">
        <v>167</v>
      </c>
    </row>
    <row r="6" spans="1:12" s="11" customFormat="1" ht="23.25" customHeight="1">
      <c r="A6" s="595" t="s">
        <v>79</v>
      </c>
      <c r="B6" s="256">
        <v>3</v>
      </c>
      <c r="C6" s="510">
        <v>10</v>
      </c>
      <c r="D6" s="510">
        <v>176</v>
      </c>
      <c r="E6" s="510">
        <v>80</v>
      </c>
      <c r="F6" s="510">
        <v>96</v>
      </c>
      <c r="G6" s="596">
        <v>17.600000000000001</v>
      </c>
      <c r="H6" s="510">
        <v>32</v>
      </c>
      <c r="I6" s="596">
        <v>5.5</v>
      </c>
      <c r="J6" s="510">
        <v>56</v>
      </c>
      <c r="K6" s="510">
        <v>65</v>
      </c>
      <c r="L6" s="597">
        <v>55</v>
      </c>
    </row>
    <row r="7" spans="1:12" s="11" customFormat="1" ht="23.25" customHeight="1">
      <c r="A7" s="595">
        <v>2</v>
      </c>
      <c r="B7" s="256">
        <v>3</v>
      </c>
      <c r="C7" s="510">
        <v>11</v>
      </c>
      <c r="D7" s="510">
        <f>+SUM(E7:F7)</f>
        <v>181</v>
      </c>
      <c r="E7" s="510">
        <v>84</v>
      </c>
      <c r="F7" s="510">
        <v>97</v>
      </c>
      <c r="G7" s="596">
        <f>+D7/C7</f>
        <v>16.454545454545453</v>
      </c>
      <c r="H7" s="510">
        <v>36</v>
      </c>
      <c r="I7" s="596">
        <f>+D7/H7</f>
        <v>5.0277777777777777</v>
      </c>
      <c r="J7" s="510">
        <v>58</v>
      </c>
      <c r="K7" s="510">
        <v>59</v>
      </c>
      <c r="L7" s="597">
        <v>64</v>
      </c>
    </row>
    <row r="8" spans="1:12" s="11" customFormat="1" ht="23.25" customHeight="1">
      <c r="A8" s="595">
        <v>3</v>
      </c>
      <c r="B8" s="256">
        <v>3</v>
      </c>
      <c r="C8" s="510">
        <v>10</v>
      </c>
      <c r="D8" s="510">
        <f>64+109</f>
        <v>173</v>
      </c>
      <c r="E8" s="510">
        <f>35+43</f>
        <v>78</v>
      </c>
      <c r="F8" s="510">
        <f>29+66</f>
        <v>95</v>
      </c>
      <c r="G8" s="596">
        <f t="shared" ref="G8:G9" si="0">+D8/C8</f>
        <v>17.3</v>
      </c>
      <c r="H8" s="510">
        <f>12+27</f>
        <v>39</v>
      </c>
      <c r="I8" s="596">
        <f t="shared" ref="I8:I9" si="1">+D8/H8</f>
        <v>4.4358974358974361</v>
      </c>
      <c r="J8" s="510">
        <f>23+34</f>
        <v>57</v>
      </c>
      <c r="K8" s="510">
        <f>22+33</f>
        <v>55</v>
      </c>
      <c r="L8" s="597">
        <f>19+39</f>
        <v>58</v>
      </c>
    </row>
    <row r="9" spans="1:12" s="11" customFormat="1" ht="23.25" customHeight="1">
      <c r="A9" s="595">
        <v>4</v>
      </c>
      <c r="B9" s="256">
        <v>3</v>
      </c>
      <c r="C9" s="510">
        <f>3+8</f>
        <v>11</v>
      </c>
      <c r="D9" s="510">
        <f>48+100</f>
        <v>148</v>
      </c>
      <c r="E9" s="510">
        <f>21+47</f>
        <v>68</v>
      </c>
      <c r="F9" s="510">
        <f>27+53</f>
        <v>80</v>
      </c>
      <c r="G9" s="596">
        <f t="shared" si="0"/>
        <v>13.454545454545455</v>
      </c>
      <c r="H9" s="510">
        <f>13+29</f>
        <v>42</v>
      </c>
      <c r="I9" s="596">
        <f t="shared" si="1"/>
        <v>3.5238095238095237</v>
      </c>
      <c r="J9" s="510">
        <f>22+29</f>
        <v>51</v>
      </c>
      <c r="K9" s="510">
        <f>22+31</f>
        <v>53</v>
      </c>
      <c r="L9" s="597">
        <f>22+33</f>
        <v>55</v>
      </c>
    </row>
    <row r="10" spans="1:12" s="11" customFormat="1" ht="23.25" customHeight="1">
      <c r="A10" s="595">
        <v>5</v>
      </c>
      <c r="B10" s="546">
        <v>3</v>
      </c>
      <c r="C10" s="510">
        <v>12</v>
      </c>
      <c r="D10" s="510">
        <v>169</v>
      </c>
      <c r="E10" s="510">
        <v>93</v>
      </c>
      <c r="F10" s="510">
        <v>76</v>
      </c>
      <c r="G10" s="596">
        <v>14.083333333333334</v>
      </c>
      <c r="H10" s="510">
        <v>42</v>
      </c>
      <c r="I10" s="596">
        <v>4.0238095238095237</v>
      </c>
      <c r="J10" s="510">
        <v>55</v>
      </c>
      <c r="K10" s="510">
        <v>50</v>
      </c>
      <c r="L10" s="597">
        <v>56</v>
      </c>
    </row>
    <row r="11" spans="1:12" s="11" customFormat="1" ht="23.25" customHeight="1" thickBot="1">
      <c r="A11" s="598"/>
      <c r="B11" s="535"/>
      <c r="C11" s="599"/>
      <c r="D11" s="599"/>
      <c r="E11" s="599"/>
      <c r="F11" s="599"/>
      <c r="G11" s="600"/>
      <c r="H11" s="599"/>
      <c r="I11" s="600"/>
      <c r="J11" s="599"/>
      <c r="K11" s="599"/>
      <c r="L11" s="601"/>
    </row>
    <row r="12" spans="1:12" s="11" customFormat="1" ht="23.25" customHeight="1">
      <c r="A12" s="134" t="s">
        <v>852</v>
      </c>
      <c r="B12" s="134"/>
      <c r="C12" s="134"/>
      <c r="D12" s="134"/>
      <c r="E12" s="134"/>
      <c r="F12" s="134"/>
      <c r="G12" s="134"/>
      <c r="H12" s="134"/>
      <c r="I12" s="134"/>
      <c r="J12" s="134"/>
      <c r="K12" s="134"/>
    </row>
    <row r="13" spans="1:12" ht="23.25" customHeight="1">
      <c r="A13" s="134" t="s">
        <v>851</v>
      </c>
      <c r="B13" s="603"/>
      <c r="C13" s="603"/>
      <c r="D13" s="603"/>
      <c r="E13" s="603"/>
      <c r="F13" s="603"/>
      <c r="G13" s="603"/>
      <c r="H13" s="603"/>
      <c r="I13" s="603"/>
      <c r="J13" s="603"/>
      <c r="K13" s="603"/>
    </row>
    <row r="14" spans="1:12" ht="23.25" customHeight="1"/>
  </sheetData>
  <mergeCells count="7">
    <mergeCell ref="K2:L2"/>
    <mergeCell ref="A3:A4"/>
    <mergeCell ref="B3:B4"/>
    <mergeCell ref="C3:C4"/>
    <mergeCell ref="D3:G3"/>
    <mergeCell ref="H3:I3"/>
    <mergeCell ref="J3:L3"/>
  </mergeCells>
  <phoneticPr fontId="4"/>
  <pageMargins left="0.78740157480314965" right="0.78740157480314965" top="0.98425196850393704" bottom="0.98425196850393704"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0E01D-795D-49B5-96EE-F361DFCDDEF3}">
  <sheetPr codeName="Sheet14">
    <pageSetUpPr fitToPage="1"/>
  </sheetPr>
  <dimension ref="A1:N155"/>
  <sheetViews>
    <sheetView workbookViewId="0">
      <selection activeCell="K113" sqref="K113"/>
    </sheetView>
  </sheetViews>
  <sheetFormatPr defaultColWidth="9" defaultRowHeight="13.2"/>
  <cols>
    <col min="1" max="1" width="11" style="775" customWidth="1"/>
    <col min="2" max="2" width="3.5" style="775" customWidth="1"/>
    <col min="3" max="3" width="1.8984375" style="775" customWidth="1"/>
    <col min="4" max="4" width="10.3984375" style="775" customWidth="1"/>
    <col min="5" max="5" width="2.09765625" style="775" customWidth="1"/>
    <col min="6" max="6" width="9.59765625" style="1104" customWidth="1"/>
    <col min="7" max="7" width="2" style="775" customWidth="1"/>
    <col min="8" max="8" width="9.8984375" style="775" customWidth="1"/>
    <col min="9" max="9" width="2.3984375" style="775" customWidth="1"/>
    <col min="10" max="10" width="2.69921875" style="775" customWidth="1"/>
    <col min="11" max="11" width="9.5" style="775" customWidth="1"/>
    <col min="12" max="12" width="2.19921875" style="775" customWidth="1"/>
    <col min="13" max="13" width="2.09765625" style="775" customWidth="1"/>
    <col min="14" max="16384" width="9" style="775"/>
  </cols>
  <sheetData>
    <row r="1" spans="1:12" ht="16.2">
      <c r="A1" s="1103" t="s">
        <v>2349</v>
      </c>
    </row>
    <row r="3" spans="1:12">
      <c r="A3" s="1105"/>
      <c r="B3" s="1105"/>
      <c r="C3" s="1105"/>
      <c r="D3" s="1105"/>
      <c r="E3" s="1105"/>
      <c r="F3" s="1106"/>
      <c r="G3" s="1105"/>
      <c r="H3" s="1105"/>
      <c r="I3" s="1105"/>
      <c r="J3" s="1105"/>
      <c r="K3" s="1105"/>
      <c r="L3" s="1105"/>
    </row>
    <row r="4" spans="1:12" ht="7.5" customHeight="1">
      <c r="A4" s="2163" t="s">
        <v>2350</v>
      </c>
      <c r="B4" s="1105"/>
      <c r="C4" s="1105"/>
      <c r="D4" s="2163" t="s">
        <v>2350</v>
      </c>
      <c r="E4" s="1105"/>
      <c r="F4" s="2163" t="s">
        <v>2351</v>
      </c>
      <c r="G4" s="1105"/>
      <c r="H4" s="2163" t="s">
        <v>2351</v>
      </c>
      <c r="I4" s="1105"/>
      <c r="J4" s="1105"/>
      <c r="K4" s="1105"/>
      <c r="L4" s="1105"/>
    </row>
    <row r="5" spans="1:12" ht="7.5" customHeight="1">
      <c r="A5" s="2163"/>
      <c r="B5" s="1107"/>
      <c r="C5" s="1108"/>
      <c r="D5" s="2163"/>
      <c r="E5" s="1105"/>
      <c r="F5" s="2163"/>
      <c r="G5" s="1105"/>
      <c r="H5" s="2163"/>
      <c r="I5" s="1105"/>
      <c r="J5" s="1105"/>
      <c r="K5" s="1105"/>
      <c r="L5" s="1105"/>
    </row>
    <row r="6" spans="1:12" ht="7.5" customHeight="1">
      <c r="A6" s="2163" t="s">
        <v>2352</v>
      </c>
      <c r="B6" s="1105"/>
      <c r="C6" s="1109"/>
      <c r="D6" s="2163" t="s">
        <v>2353</v>
      </c>
      <c r="E6" s="1107"/>
      <c r="F6" s="2163" t="s">
        <v>2354</v>
      </c>
      <c r="G6" s="1107"/>
      <c r="H6" s="2163" t="s">
        <v>2355</v>
      </c>
      <c r="I6" s="1110"/>
      <c r="J6" s="1105"/>
      <c r="K6" s="1105"/>
      <c r="L6" s="1105"/>
    </row>
    <row r="7" spans="1:12" ht="7.5" customHeight="1">
      <c r="A7" s="2163"/>
      <c r="B7" s="1107"/>
      <c r="C7" s="1105"/>
      <c r="D7" s="2163"/>
      <c r="E7" s="1105"/>
      <c r="F7" s="2163"/>
      <c r="G7" s="1105"/>
      <c r="H7" s="2163"/>
      <c r="I7" s="1111"/>
      <c r="J7" s="1105"/>
      <c r="K7" s="1105"/>
      <c r="L7" s="1105"/>
    </row>
    <row r="8" spans="1:12" ht="14.25" customHeight="1">
      <c r="A8" s="1106"/>
      <c r="B8" s="1105"/>
      <c r="C8" s="1105"/>
      <c r="D8" s="1106"/>
      <c r="E8" s="1105"/>
      <c r="F8" s="1112" t="s">
        <v>2356</v>
      </c>
      <c r="G8" s="1105"/>
      <c r="H8" s="1112" t="s">
        <v>2357</v>
      </c>
      <c r="I8" s="1111"/>
      <c r="J8" s="1105"/>
      <c r="K8" s="1105"/>
      <c r="L8" s="1105"/>
    </row>
    <row r="9" spans="1:12" ht="7.5" customHeight="1">
      <c r="A9" s="2163" t="s">
        <v>2358</v>
      </c>
      <c r="B9" s="1113"/>
      <c r="C9" s="1105"/>
      <c r="D9" s="1106"/>
      <c r="E9" s="1105"/>
      <c r="F9" s="1106"/>
      <c r="G9" s="1105"/>
      <c r="H9" s="1105"/>
      <c r="I9" s="1111"/>
      <c r="J9" s="1105"/>
      <c r="K9" s="1105"/>
      <c r="L9" s="1105"/>
    </row>
    <row r="10" spans="1:12" ht="7.5" customHeight="1">
      <c r="A10" s="2163"/>
      <c r="B10" s="1107"/>
      <c r="C10" s="1114"/>
      <c r="D10" s="1106"/>
      <c r="E10" s="1105"/>
      <c r="F10" s="1106"/>
      <c r="G10" s="1105"/>
      <c r="H10" s="1105"/>
      <c r="I10" s="1111"/>
      <c r="J10" s="1105"/>
      <c r="K10" s="1105"/>
      <c r="L10" s="1105"/>
    </row>
    <row r="11" spans="1:12" ht="7.5" customHeight="1">
      <c r="A11" s="2163" t="s">
        <v>2359</v>
      </c>
      <c r="B11" s="1113"/>
      <c r="C11" s="1114"/>
      <c r="D11" s="1106"/>
      <c r="E11" s="1105"/>
      <c r="F11" s="1106"/>
      <c r="G11" s="1105"/>
      <c r="H11" s="1105"/>
      <c r="I11" s="1111"/>
      <c r="J11" s="1105"/>
      <c r="K11" s="1105"/>
      <c r="L11" s="1105"/>
    </row>
    <row r="12" spans="1:12" ht="7.5" customHeight="1">
      <c r="A12" s="2163"/>
      <c r="B12" s="1107"/>
      <c r="C12" s="1114"/>
      <c r="D12" s="1106"/>
      <c r="E12" s="1105"/>
      <c r="F12" s="1106"/>
      <c r="G12" s="1105"/>
      <c r="H12" s="1105"/>
      <c r="I12" s="1111"/>
      <c r="J12" s="1105"/>
      <c r="K12" s="1105"/>
      <c r="L12" s="1105"/>
    </row>
    <row r="13" spans="1:12" ht="7.5" customHeight="1">
      <c r="A13" s="2163" t="s">
        <v>2360</v>
      </c>
      <c r="B13" s="1113"/>
      <c r="C13" s="1114"/>
      <c r="D13" s="1106"/>
      <c r="E13" s="1105"/>
      <c r="F13" s="1106"/>
      <c r="G13" s="1105"/>
      <c r="H13" s="1105"/>
      <c r="I13" s="1111"/>
      <c r="J13" s="1105"/>
      <c r="K13" s="1105"/>
      <c r="L13" s="1105"/>
    </row>
    <row r="14" spans="1:12" ht="7.5" customHeight="1">
      <c r="A14" s="2163"/>
      <c r="B14" s="1107"/>
      <c r="C14" s="1114"/>
      <c r="D14" s="1106"/>
      <c r="E14" s="1105"/>
      <c r="F14" s="1106"/>
      <c r="G14" s="1105"/>
      <c r="H14" s="1105"/>
      <c r="I14" s="1111"/>
      <c r="J14" s="1105"/>
      <c r="K14" s="1105"/>
      <c r="L14" s="1105"/>
    </row>
    <row r="15" spans="1:12" ht="7.5" customHeight="1">
      <c r="A15" s="2163" t="s">
        <v>2361</v>
      </c>
      <c r="B15" s="1113"/>
      <c r="C15" s="1114"/>
      <c r="D15" s="1106"/>
      <c r="E15" s="1105"/>
      <c r="F15" s="1106"/>
      <c r="G15" s="1105"/>
      <c r="H15" s="1105"/>
      <c r="I15" s="1111"/>
      <c r="J15" s="1105"/>
      <c r="K15" s="1105"/>
      <c r="L15" s="1105"/>
    </row>
    <row r="16" spans="1:12" ht="7.5" customHeight="1">
      <c r="A16" s="2163"/>
      <c r="B16" s="1107"/>
      <c r="C16" s="1114"/>
      <c r="D16" s="2163" t="s">
        <v>2362</v>
      </c>
      <c r="E16" s="1105"/>
      <c r="F16" s="1106"/>
      <c r="G16" s="1105"/>
      <c r="H16" s="1105"/>
      <c r="I16" s="1111"/>
      <c r="J16" s="1105"/>
      <c r="K16" s="1105"/>
      <c r="L16" s="1105"/>
    </row>
    <row r="17" spans="1:14" ht="7.5" customHeight="1">
      <c r="A17" s="2163" t="s">
        <v>2363</v>
      </c>
      <c r="B17" s="1113"/>
      <c r="C17" s="1114"/>
      <c r="D17" s="2163"/>
      <c r="E17" s="1105"/>
      <c r="F17" s="1106"/>
      <c r="G17" s="1105"/>
      <c r="H17" s="1105"/>
      <c r="I17" s="1115"/>
      <c r="J17" s="1105"/>
      <c r="K17" s="1105"/>
      <c r="L17" s="1105"/>
    </row>
    <row r="18" spans="1:14" ht="7.5" customHeight="1">
      <c r="A18" s="2163"/>
      <c r="B18" s="1107"/>
      <c r="C18" s="1109"/>
      <c r="D18" s="2163" t="s">
        <v>2353</v>
      </c>
      <c r="E18" s="1107"/>
      <c r="F18" s="1116"/>
      <c r="G18" s="1107"/>
      <c r="H18" s="1107"/>
      <c r="I18" s="1110"/>
      <c r="J18" s="1105"/>
      <c r="K18" s="1105"/>
      <c r="L18" s="1105"/>
    </row>
    <row r="19" spans="1:14" ht="7.5" customHeight="1">
      <c r="A19" s="2163" t="s">
        <v>2364</v>
      </c>
      <c r="B19" s="1113"/>
      <c r="C19" s="1114"/>
      <c r="D19" s="2163"/>
      <c r="E19" s="1105"/>
      <c r="F19" s="1106"/>
      <c r="G19" s="1105"/>
      <c r="H19" s="1105"/>
      <c r="I19" s="1111"/>
      <c r="J19" s="1105"/>
      <c r="K19" s="1105"/>
      <c r="L19" s="1105"/>
    </row>
    <row r="20" spans="1:14" ht="7.5" customHeight="1">
      <c r="A20" s="2163"/>
      <c r="B20" s="1107"/>
      <c r="C20" s="1114"/>
      <c r="D20" s="1106"/>
      <c r="E20" s="1105"/>
      <c r="F20" s="1106"/>
      <c r="G20" s="1105"/>
      <c r="H20" s="1105"/>
      <c r="I20" s="1111"/>
      <c r="J20" s="1105"/>
      <c r="K20" s="1105"/>
      <c r="L20" s="1105"/>
    </row>
    <row r="21" spans="1:14" ht="7.5" customHeight="1">
      <c r="A21" s="2163" t="s">
        <v>2365</v>
      </c>
      <c r="B21" s="1113"/>
      <c r="C21" s="1114"/>
      <c r="D21" s="1106"/>
      <c r="E21" s="1105"/>
      <c r="F21" s="1106"/>
      <c r="G21" s="1105"/>
      <c r="H21" s="1105"/>
      <c r="I21" s="1111"/>
      <c r="J21" s="1105"/>
      <c r="K21" s="1105"/>
      <c r="L21" s="1105"/>
    </row>
    <row r="22" spans="1:14" ht="7.5" customHeight="1">
      <c r="A22" s="2163"/>
      <c r="B22" s="1107"/>
      <c r="C22" s="1114"/>
      <c r="D22" s="1106"/>
      <c r="E22" s="1105"/>
      <c r="F22" s="1106"/>
      <c r="G22" s="1105"/>
      <c r="H22" s="1105"/>
      <c r="I22" s="1111"/>
      <c r="J22" s="1105"/>
      <c r="K22" s="1105"/>
      <c r="L22" s="1105"/>
    </row>
    <row r="23" spans="1:14" ht="7.5" customHeight="1">
      <c r="A23" s="2163" t="s">
        <v>2366</v>
      </c>
      <c r="B23" s="1113"/>
      <c r="C23" s="1114"/>
      <c r="D23" s="1106"/>
      <c r="E23" s="1105"/>
      <c r="F23" s="1106"/>
      <c r="G23" s="1105"/>
      <c r="H23" s="1105"/>
      <c r="I23" s="1111"/>
      <c r="J23" s="1105"/>
      <c r="K23" s="1105"/>
      <c r="L23" s="1105"/>
    </row>
    <row r="24" spans="1:14" ht="7.5" customHeight="1">
      <c r="A24" s="2163"/>
      <c r="B24" s="1107"/>
      <c r="C24" s="1114"/>
      <c r="D24" s="1106"/>
      <c r="E24" s="1105"/>
      <c r="F24" s="1106"/>
      <c r="G24" s="1105"/>
      <c r="H24" s="1105"/>
      <c r="I24" s="1111"/>
      <c r="J24" s="1105"/>
      <c r="K24" s="2163" t="s">
        <v>472</v>
      </c>
      <c r="L24" s="1105"/>
      <c r="N24" s="2163" t="s">
        <v>472</v>
      </c>
    </row>
    <row r="25" spans="1:14" ht="7.5" customHeight="1">
      <c r="A25" s="2163" t="s">
        <v>2367</v>
      </c>
      <c r="B25" s="1113"/>
      <c r="C25" s="1114"/>
      <c r="D25" s="1106"/>
      <c r="E25" s="1105"/>
      <c r="F25" s="1106"/>
      <c r="G25" s="1105"/>
      <c r="H25" s="1105"/>
      <c r="I25" s="1111"/>
      <c r="J25" s="1105"/>
      <c r="K25" s="2163"/>
      <c r="L25" s="1105"/>
      <c r="N25" s="2163"/>
    </row>
    <row r="26" spans="1:14" ht="7.5" customHeight="1">
      <c r="A26" s="2163"/>
      <c r="B26" s="1107"/>
      <c r="C26" s="1105"/>
      <c r="D26" s="1106"/>
      <c r="E26" s="1105"/>
      <c r="F26" s="1106"/>
      <c r="G26" s="1105"/>
      <c r="H26" s="1105"/>
      <c r="I26" s="1111"/>
      <c r="J26" s="1109"/>
      <c r="K26" s="2163" t="s">
        <v>2368</v>
      </c>
      <c r="L26" s="1110"/>
      <c r="M26" s="1117"/>
      <c r="N26" s="2163" t="s">
        <v>2369</v>
      </c>
    </row>
    <row r="27" spans="1:14" ht="7.5" customHeight="1">
      <c r="A27" s="2163"/>
      <c r="B27" s="1105"/>
      <c r="C27" s="1105"/>
      <c r="D27" s="1106"/>
      <c r="E27" s="1105"/>
      <c r="F27" s="1106"/>
      <c r="G27" s="1105"/>
      <c r="H27" s="1105"/>
      <c r="I27" s="1111"/>
      <c r="J27" s="1105"/>
      <c r="K27" s="2163"/>
      <c r="L27" s="1111"/>
      <c r="N27" s="2163"/>
    </row>
    <row r="28" spans="1:14" ht="7.5" customHeight="1">
      <c r="A28" s="2163"/>
      <c r="B28" s="1105"/>
      <c r="C28" s="1105"/>
      <c r="D28" s="1106"/>
      <c r="E28" s="1105"/>
      <c r="F28" s="1106"/>
      <c r="G28" s="1105"/>
      <c r="H28" s="1105"/>
      <c r="I28" s="1111"/>
      <c r="J28" s="1105"/>
      <c r="K28" s="1105"/>
      <c r="L28" s="1111"/>
    </row>
    <row r="29" spans="1:14" ht="7.5" customHeight="1">
      <c r="A29" s="2163" t="s">
        <v>2370</v>
      </c>
      <c r="B29" s="1113"/>
      <c r="C29" s="1105"/>
      <c r="D29" s="1106"/>
      <c r="E29" s="1105"/>
      <c r="F29" s="1106"/>
      <c r="G29" s="1105"/>
      <c r="H29" s="1105"/>
      <c r="I29" s="1111"/>
      <c r="J29" s="1105"/>
      <c r="K29" s="1105"/>
      <c r="L29" s="1111"/>
    </row>
    <row r="30" spans="1:14" ht="7.5" customHeight="1">
      <c r="A30" s="2163"/>
      <c r="B30" s="1107"/>
      <c r="C30" s="1114"/>
      <c r="D30" s="1106"/>
      <c r="E30" s="1105"/>
      <c r="F30" s="1106"/>
      <c r="G30" s="1105"/>
      <c r="H30" s="1105"/>
      <c r="I30" s="1111"/>
      <c r="J30" s="1105"/>
      <c r="K30" s="1105"/>
      <c r="L30" s="1111"/>
    </row>
    <row r="31" spans="1:14" ht="7.5" customHeight="1">
      <c r="A31" s="2163" t="s">
        <v>2371</v>
      </c>
      <c r="B31" s="1113"/>
      <c r="C31" s="1114"/>
      <c r="D31" s="1106"/>
      <c r="E31" s="1105"/>
      <c r="F31" s="1106"/>
      <c r="G31" s="1105"/>
      <c r="H31" s="1105"/>
      <c r="I31" s="1111"/>
      <c r="J31" s="1105"/>
      <c r="K31" s="1105"/>
      <c r="L31" s="1111"/>
    </row>
    <row r="32" spans="1:14" ht="7.5" customHeight="1">
      <c r="A32" s="2163"/>
      <c r="B32" s="1107"/>
      <c r="C32" s="1114"/>
      <c r="D32" s="2163" t="s">
        <v>2372</v>
      </c>
      <c r="E32" s="1105"/>
      <c r="F32" s="1106"/>
      <c r="G32" s="1105"/>
      <c r="H32" s="1105"/>
      <c r="I32" s="1111"/>
      <c r="J32" s="1105"/>
      <c r="K32" s="1105"/>
      <c r="L32" s="1111"/>
    </row>
    <row r="33" spans="1:12" ht="7.5" customHeight="1">
      <c r="A33" s="2163" t="s">
        <v>2373</v>
      </c>
      <c r="B33" s="1113"/>
      <c r="C33" s="1114"/>
      <c r="D33" s="2163"/>
      <c r="E33" s="1105"/>
      <c r="F33" s="1106"/>
      <c r="G33" s="1105"/>
      <c r="H33" s="1105"/>
      <c r="I33" s="1115"/>
      <c r="J33" s="1105"/>
      <c r="K33" s="1105"/>
      <c r="L33" s="1111"/>
    </row>
    <row r="34" spans="1:12" ht="7.5" customHeight="1">
      <c r="A34" s="2163"/>
      <c r="B34" s="1107"/>
      <c r="C34" s="1109"/>
      <c r="D34" s="2163" t="s">
        <v>2374</v>
      </c>
      <c r="E34" s="1107"/>
      <c r="F34" s="1116"/>
      <c r="G34" s="1107"/>
      <c r="H34" s="1107"/>
      <c r="I34" s="1110"/>
      <c r="J34" s="1105"/>
      <c r="K34" s="1105"/>
      <c r="L34" s="1111"/>
    </row>
    <row r="35" spans="1:12" ht="7.5" customHeight="1">
      <c r="A35" s="2163" t="s">
        <v>2375</v>
      </c>
      <c r="B35" s="1113"/>
      <c r="C35" s="1114"/>
      <c r="D35" s="2163"/>
      <c r="E35" s="1105"/>
      <c r="F35" s="1106"/>
      <c r="G35" s="1105"/>
      <c r="H35" s="1105"/>
      <c r="I35" s="1111"/>
      <c r="J35" s="1105"/>
      <c r="K35" s="1105"/>
      <c r="L35" s="1111"/>
    </row>
    <row r="36" spans="1:12" ht="7.5" customHeight="1">
      <c r="A36" s="2163"/>
      <c r="B36" s="1107"/>
      <c r="C36" s="1114"/>
      <c r="D36" s="1106"/>
      <c r="E36" s="1105"/>
      <c r="F36" s="1106"/>
      <c r="G36" s="1105"/>
      <c r="H36" s="1105"/>
      <c r="I36" s="1111"/>
      <c r="J36" s="1105"/>
      <c r="K36" s="1105"/>
      <c r="L36" s="1111"/>
    </row>
    <row r="37" spans="1:12" ht="7.5" customHeight="1">
      <c r="A37" s="2163" t="s">
        <v>2376</v>
      </c>
      <c r="B37" s="1113"/>
      <c r="C37" s="1114"/>
      <c r="D37" s="1106"/>
      <c r="E37" s="1105"/>
      <c r="F37" s="1106"/>
      <c r="G37" s="1105"/>
      <c r="H37" s="1105"/>
      <c r="I37" s="1111"/>
      <c r="J37" s="1105"/>
      <c r="K37" s="1105"/>
      <c r="L37" s="1111"/>
    </row>
    <row r="38" spans="1:12" ht="7.5" customHeight="1">
      <c r="A38" s="2163"/>
      <c r="B38" s="1107"/>
      <c r="C38" s="1105"/>
      <c r="D38" s="1106"/>
      <c r="E38" s="1105"/>
      <c r="F38" s="1106"/>
      <c r="G38" s="1105"/>
      <c r="H38" s="1105"/>
      <c r="I38" s="1111"/>
      <c r="J38" s="1105"/>
      <c r="K38" s="1105"/>
      <c r="L38" s="1111"/>
    </row>
    <row r="39" spans="1:12" ht="7.5" customHeight="1">
      <c r="A39" s="2163"/>
      <c r="B39" s="1105"/>
      <c r="C39" s="1105"/>
      <c r="D39" s="1106"/>
      <c r="E39" s="1105"/>
      <c r="F39" s="1106"/>
      <c r="G39" s="1105"/>
      <c r="H39" s="1105"/>
      <c r="I39" s="1111"/>
      <c r="J39" s="1105"/>
      <c r="K39" s="1105"/>
      <c r="L39" s="1111"/>
    </row>
    <row r="40" spans="1:12" ht="7.5" customHeight="1">
      <c r="A40" s="2163"/>
      <c r="B40" s="1105"/>
      <c r="C40" s="1105"/>
      <c r="D40" s="1106"/>
      <c r="E40" s="1105"/>
      <c r="F40" s="1106"/>
      <c r="G40" s="1105"/>
      <c r="H40" s="1105"/>
      <c r="I40" s="1111"/>
      <c r="J40" s="1105"/>
      <c r="K40" s="1105"/>
      <c r="L40" s="1111"/>
    </row>
    <row r="41" spans="1:12" ht="7.5" customHeight="1">
      <c r="A41" s="2163" t="s">
        <v>2377</v>
      </c>
      <c r="B41" s="1113"/>
      <c r="C41" s="1105"/>
      <c r="D41" s="1106"/>
      <c r="E41" s="1105"/>
      <c r="F41" s="1106"/>
      <c r="G41" s="1105"/>
      <c r="H41" s="1105"/>
      <c r="I41" s="1111"/>
      <c r="J41" s="1105"/>
      <c r="K41" s="1105"/>
      <c r="L41" s="1111"/>
    </row>
    <row r="42" spans="1:12" ht="7.5" customHeight="1">
      <c r="A42" s="2163"/>
      <c r="B42" s="1110"/>
      <c r="C42" s="1105"/>
      <c r="D42" s="1106"/>
      <c r="E42" s="1105"/>
      <c r="F42" s="1106"/>
      <c r="G42" s="1105"/>
      <c r="H42" s="1105"/>
      <c r="I42" s="1111"/>
      <c r="J42" s="1105"/>
      <c r="K42" s="1105"/>
      <c r="L42" s="1111"/>
    </row>
    <row r="43" spans="1:12" ht="7.5" customHeight="1">
      <c r="A43" s="2163" t="s">
        <v>2378</v>
      </c>
      <c r="B43" s="1115"/>
      <c r="C43" s="1105"/>
      <c r="D43" s="1106"/>
      <c r="E43" s="1105"/>
      <c r="F43" s="1106"/>
      <c r="G43" s="1105"/>
      <c r="H43" s="1105"/>
      <c r="I43" s="1111"/>
      <c r="J43" s="1105"/>
      <c r="K43" s="1105"/>
      <c r="L43" s="1111"/>
    </row>
    <row r="44" spans="1:12" ht="7.5" customHeight="1">
      <c r="A44" s="2163"/>
      <c r="B44" s="1110"/>
      <c r="C44" s="1105"/>
      <c r="D44" s="1106"/>
      <c r="E44" s="1105"/>
      <c r="F44" s="1106"/>
      <c r="G44" s="1105"/>
      <c r="H44" s="1105"/>
      <c r="I44" s="1111"/>
      <c r="J44" s="1105"/>
      <c r="K44" s="1105"/>
      <c r="L44" s="1111"/>
    </row>
    <row r="45" spans="1:12" ht="7.5" customHeight="1">
      <c r="A45" s="2163" t="s">
        <v>2379</v>
      </c>
      <c r="B45" s="1115"/>
      <c r="C45" s="1105"/>
      <c r="D45" s="1106"/>
      <c r="E45" s="1105"/>
      <c r="F45" s="1106"/>
      <c r="G45" s="1105"/>
      <c r="H45" s="1105"/>
      <c r="I45" s="1111"/>
      <c r="J45" s="1105"/>
      <c r="K45" s="1105"/>
      <c r="L45" s="1111"/>
    </row>
    <row r="46" spans="1:12" ht="7.5" customHeight="1">
      <c r="A46" s="2163"/>
      <c r="B46" s="1110"/>
      <c r="C46" s="1105"/>
      <c r="D46" s="1106"/>
      <c r="E46" s="1105"/>
      <c r="F46" s="1106"/>
      <c r="G46" s="1105"/>
      <c r="H46" s="1105"/>
      <c r="I46" s="1111"/>
      <c r="J46" s="1105"/>
      <c r="K46" s="1105"/>
      <c r="L46" s="1111"/>
    </row>
    <row r="47" spans="1:12" ht="7.5" customHeight="1">
      <c r="A47" s="2163" t="s">
        <v>2380</v>
      </c>
      <c r="B47" s="1115"/>
      <c r="C47" s="1105"/>
      <c r="D47" s="1106"/>
      <c r="E47" s="1105"/>
      <c r="F47" s="1106"/>
      <c r="G47" s="1105"/>
      <c r="H47" s="1105"/>
      <c r="I47" s="1111"/>
      <c r="J47" s="1105"/>
      <c r="K47" s="1105"/>
      <c r="L47" s="1111"/>
    </row>
    <row r="48" spans="1:12" ht="7.5" customHeight="1">
      <c r="A48" s="2163"/>
      <c r="B48" s="1110"/>
      <c r="C48" s="1105"/>
      <c r="D48" s="2163" t="s">
        <v>2381</v>
      </c>
      <c r="E48" s="1105"/>
      <c r="F48" s="1106"/>
      <c r="G48" s="1105"/>
      <c r="H48" s="1105"/>
      <c r="I48" s="1111"/>
      <c r="J48" s="1105"/>
      <c r="K48" s="1105"/>
      <c r="L48" s="1111"/>
    </row>
    <row r="49" spans="1:12" ht="7.5" customHeight="1">
      <c r="A49" s="2163" t="s">
        <v>2382</v>
      </c>
      <c r="B49" s="1115"/>
      <c r="C49" s="1105"/>
      <c r="D49" s="2163"/>
      <c r="E49" s="1105"/>
      <c r="F49" s="1106"/>
      <c r="G49" s="1105"/>
      <c r="H49" s="1105"/>
      <c r="I49" s="1115"/>
      <c r="J49" s="1105"/>
      <c r="K49" s="1105"/>
      <c r="L49" s="1111"/>
    </row>
    <row r="50" spans="1:12" ht="7.5" customHeight="1">
      <c r="A50" s="2163"/>
      <c r="B50" s="1110"/>
      <c r="C50" s="1109"/>
      <c r="D50" s="2163" t="s">
        <v>2353</v>
      </c>
      <c r="E50" s="1107"/>
      <c r="F50" s="1116"/>
      <c r="G50" s="1107"/>
      <c r="H50" s="1107"/>
      <c r="I50" s="1107"/>
      <c r="J50" s="1105"/>
      <c r="K50" s="1105"/>
      <c r="L50" s="1111"/>
    </row>
    <row r="51" spans="1:12" ht="7.5" customHeight="1">
      <c r="A51" s="2163" t="s">
        <v>2383</v>
      </c>
      <c r="B51" s="1115"/>
      <c r="C51" s="1105"/>
      <c r="D51" s="2163"/>
      <c r="E51" s="1105"/>
      <c r="F51" s="1106"/>
      <c r="G51" s="1105"/>
      <c r="H51" s="1105"/>
      <c r="I51" s="1105"/>
      <c r="J51" s="1105"/>
      <c r="K51" s="1105"/>
      <c r="L51" s="1111"/>
    </row>
    <row r="52" spans="1:12" ht="7.5" customHeight="1">
      <c r="A52" s="2163"/>
      <c r="B52" s="1110"/>
      <c r="C52" s="1105"/>
      <c r="D52" s="1106"/>
      <c r="E52" s="1105"/>
      <c r="F52" s="1106"/>
      <c r="G52" s="1105"/>
      <c r="H52" s="1105"/>
      <c r="I52" s="1105"/>
      <c r="J52" s="1105"/>
      <c r="K52" s="1105"/>
      <c r="L52" s="1111"/>
    </row>
    <row r="53" spans="1:12" ht="7.5" customHeight="1">
      <c r="A53" s="2163" t="s">
        <v>2384</v>
      </c>
      <c r="B53" s="1115"/>
      <c r="C53" s="1105"/>
      <c r="D53" s="1106"/>
      <c r="E53" s="1105"/>
      <c r="F53" s="1106"/>
      <c r="G53" s="1105"/>
      <c r="H53" s="1105"/>
      <c r="I53" s="1105"/>
      <c r="J53" s="1105"/>
      <c r="K53" s="1105"/>
      <c r="L53" s="1111"/>
    </row>
    <row r="54" spans="1:12" ht="7.5" customHeight="1">
      <c r="A54" s="2163"/>
      <c r="B54" s="1110"/>
      <c r="C54" s="1105"/>
      <c r="D54" s="1106"/>
      <c r="E54" s="1105"/>
      <c r="F54" s="1106"/>
      <c r="G54" s="1105"/>
      <c r="H54" s="1105"/>
      <c r="I54" s="1105"/>
      <c r="J54" s="1105"/>
      <c r="K54" s="1105"/>
      <c r="L54" s="1111"/>
    </row>
    <row r="55" spans="1:12" ht="7.5" customHeight="1">
      <c r="A55" s="2163" t="s">
        <v>2385</v>
      </c>
      <c r="B55" s="1115"/>
      <c r="C55" s="1105"/>
      <c r="D55" s="1106"/>
      <c r="E55" s="1105"/>
      <c r="F55" s="1106"/>
      <c r="G55" s="1105"/>
      <c r="H55" s="1105"/>
      <c r="I55" s="1105"/>
      <c r="J55" s="1105"/>
      <c r="K55" s="1105"/>
      <c r="L55" s="1111"/>
    </row>
    <row r="56" spans="1:12" ht="7.5" customHeight="1">
      <c r="A56" s="2163"/>
      <c r="B56" s="1110"/>
      <c r="C56" s="1105"/>
      <c r="D56" s="1106"/>
      <c r="E56" s="1105"/>
      <c r="F56" s="1106"/>
      <c r="G56" s="1105"/>
      <c r="H56" s="1105"/>
      <c r="I56" s="1105"/>
      <c r="J56" s="1105"/>
      <c r="K56" s="1105"/>
      <c r="L56" s="1111"/>
    </row>
    <row r="57" spans="1:12" ht="7.5" customHeight="1">
      <c r="A57" s="2163" t="s">
        <v>2386</v>
      </c>
      <c r="B57" s="1115"/>
      <c r="C57" s="1105"/>
      <c r="D57" s="1106"/>
      <c r="E57" s="1105"/>
      <c r="F57" s="1106"/>
      <c r="G57" s="1105"/>
      <c r="H57" s="1105"/>
      <c r="I57" s="1105"/>
      <c r="J57" s="1105"/>
      <c r="K57" s="1105"/>
      <c r="L57" s="1111"/>
    </row>
    <row r="58" spans="1:12" ht="7.5" customHeight="1">
      <c r="A58" s="2163"/>
      <c r="B58" s="1105"/>
      <c r="C58" s="1105"/>
      <c r="D58" s="1106"/>
      <c r="E58" s="1105"/>
      <c r="F58" s="1106"/>
      <c r="G58" s="1105"/>
      <c r="H58" s="1105"/>
      <c r="I58" s="1105"/>
      <c r="J58" s="1105"/>
      <c r="K58" s="1105"/>
      <c r="L58" s="1111"/>
    </row>
    <row r="59" spans="1:12" ht="7.5" customHeight="1">
      <c r="A59" s="2163"/>
      <c r="B59" s="1105"/>
      <c r="C59" s="1105"/>
      <c r="D59" s="1106"/>
      <c r="E59" s="1105"/>
      <c r="F59" s="1106"/>
      <c r="G59" s="1105"/>
      <c r="H59" s="1105"/>
      <c r="I59" s="1105"/>
      <c r="J59" s="1105"/>
      <c r="K59" s="1105"/>
      <c r="L59" s="1111"/>
    </row>
    <row r="60" spans="1:12" ht="7.5" customHeight="1">
      <c r="A60" s="2163"/>
      <c r="B60" s="1105"/>
      <c r="C60" s="1105"/>
      <c r="D60" s="1106"/>
      <c r="E60" s="1105"/>
      <c r="F60" s="1106"/>
      <c r="G60" s="1105"/>
      <c r="H60" s="1105"/>
      <c r="I60" s="1105"/>
      <c r="J60" s="1105"/>
      <c r="K60" s="1105"/>
      <c r="L60" s="1111"/>
    </row>
    <row r="61" spans="1:12" ht="7.5" customHeight="1">
      <c r="A61" s="2163" t="s">
        <v>2387</v>
      </c>
      <c r="B61" s="1105"/>
      <c r="C61" s="1105"/>
      <c r="D61" s="1106"/>
      <c r="E61" s="1105"/>
      <c r="F61" s="1106"/>
      <c r="G61" s="1105"/>
      <c r="H61" s="1105"/>
      <c r="I61" s="1105"/>
      <c r="J61" s="1105"/>
      <c r="K61" s="1105"/>
      <c r="L61" s="1111"/>
    </row>
    <row r="62" spans="1:12" ht="7.5" customHeight="1">
      <c r="A62" s="2163"/>
      <c r="B62" s="1110"/>
      <c r="C62" s="1105"/>
      <c r="D62" s="1106"/>
      <c r="E62" s="1105"/>
      <c r="F62" s="1106"/>
      <c r="G62" s="1105"/>
      <c r="H62" s="1105"/>
      <c r="I62" s="1105"/>
      <c r="J62" s="1105"/>
      <c r="K62" s="1105"/>
      <c r="L62" s="1111"/>
    </row>
    <row r="63" spans="1:12" ht="7.5" customHeight="1">
      <c r="A63" s="2163" t="s">
        <v>2388</v>
      </c>
      <c r="B63" s="1111"/>
      <c r="C63" s="1105"/>
      <c r="D63" s="1106"/>
      <c r="E63" s="1105"/>
      <c r="F63" s="1106"/>
      <c r="G63" s="1105"/>
      <c r="H63" s="1105"/>
      <c r="I63" s="1105"/>
      <c r="J63" s="1105"/>
      <c r="K63" s="1105"/>
      <c r="L63" s="1111"/>
    </row>
    <row r="64" spans="1:12" ht="7.5" customHeight="1">
      <c r="A64" s="2163"/>
      <c r="B64" s="1110"/>
      <c r="C64" s="1105"/>
      <c r="D64" s="1106"/>
      <c r="E64" s="1105"/>
      <c r="F64" s="1106"/>
      <c r="G64" s="1105"/>
      <c r="H64" s="1105"/>
      <c r="I64" s="1105"/>
      <c r="J64" s="1105"/>
      <c r="K64" s="1105"/>
      <c r="L64" s="1111"/>
    </row>
    <row r="65" spans="1:12" ht="7.5" customHeight="1">
      <c r="A65" s="2164" t="s">
        <v>2389</v>
      </c>
      <c r="B65" s="1111"/>
      <c r="C65" s="1105"/>
      <c r="D65" s="1106"/>
      <c r="E65" s="1105"/>
      <c r="F65" s="1106"/>
      <c r="G65" s="1105"/>
      <c r="H65" s="1105"/>
      <c r="I65" s="1105"/>
      <c r="J65" s="1105"/>
      <c r="K65" s="1105"/>
      <c r="L65" s="1111"/>
    </row>
    <row r="66" spans="1:12" ht="7.5" customHeight="1">
      <c r="A66" s="2164"/>
      <c r="B66" s="1110"/>
      <c r="C66" s="1105"/>
      <c r="D66" s="1106"/>
      <c r="E66" s="1105"/>
      <c r="F66" s="1106"/>
      <c r="G66" s="1105"/>
      <c r="H66" s="1105"/>
      <c r="I66" s="1105"/>
      <c r="J66" s="1105"/>
      <c r="K66" s="1105"/>
      <c r="L66" s="1111"/>
    </row>
    <row r="67" spans="1:12" ht="7.5" customHeight="1">
      <c r="A67" s="2163" t="s">
        <v>2390</v>
      </c>
      <c r="B67" s="1111"/>
      <c r="C67" s="1105"/>
      <c r="D67" s="1106"/>
      <c r="E67" s="1105"/>
      <c r="F67" s="1106"/>
      <c r="G67" s="1105"/>
      <c r="H67" s="1105"/>
      <c r="I67" s="1105"/>
      <c r="J67" s="1105"/>
      <c r="K67" s="1105"/>
      <c r="L67" s="1111"/>
    </row>
    <row r="68" spans="1:12" ht="7.5" customHeight="1">
      <c r="A68" s="2163"/>
      <c r="B68" s="1110"/>
      <c r="C68" s="1105"/>
      <c r="D68" s="2163" t="s">
        <v>558</v>
      </c>
      <c r="E68" s="1105"/>
      <c r="F68" s="1106"/>
      <c r="G68" s="1105"/>
      <c r="H68" s="1105"/>
      <c r="I68" s="1105"/>
      <c r="J68" s="1105"/>
      <c r="K68" s="1105"/>
      <c r="L68" s="1111"/>
    </row>
    <row r="69" spans="1:12" ht="7.5" customHeight="1">
      <c r="A69" s="2163" t="s">
        <v>2391</v>
      </c>
      <c r="B69" s="1111"/>
      <c r="C69" s="1105"/>
      <c r="D69" s="2163"/>
      <c r="E69" s="1105"/>
      <c r="F69" s="1106"/>
      <c r="G69" s="1105"/>
      <c r="H69" s="1105"/>
      <c r="I69" s="1105"/>
      <c r="J69" s="1105"/>
      <c r="K69" s="1105"/>
      <c r="L69" s="1111"/>
    </row>
    <row r="70" spans="1:12" ht="7.5" customHeight="1">
      <c r="A70" s="2163"/>
      <c r="B70" s="1110"/>
      <c r="C70" s="1109"/>
      <c r="D70" s="2163" t="s">
        <v>2353</v>
      </c>
      <c r="E70" s="1107"/>
      <c r="F70" s="1116"/>
      <c r="G70" s="1107"/>
      <c r="H70" s="1107"/>
      <c r="I70" s="2165" t="s">
        <v>2392</v>
      </c>
      <c r="J70" s="2166"/>
      <c r="K70" s="2166"/>
      <c r="L70" s="1110"/>
    </row>
    <row r="71" spans="1:12" ht="7.5" customHeight="1">
      <c r="A71" s="2163" t="s">
        <v>2393</v>
      </c>
      <c r="B71" s="1111"/>
      <c r="C71" s="1105"/>
      <c r="D71" s="2163"/>
      <c r="E71" s="1105"/>
      <c r="F71" s="1106"/>
      <c r="G71" s="1105"/>
      <c r="H71" s="1105"/>
      <c r="I71" s="2167"/>
      <c r="J71" s="2167"/>
      <c r="K71" s="2167"/>
      <c r="L71" s="1111"/>
    </row>
    <row r="72" spans="1:12" ht="7.5" customHeight="1">
      <c r="A72" s="2163"/>
      <c r="B72" s="1110"/>
      <c r="C72" s="1105"/>
      <c r="D72" s="1106"/>
      <c r="E72" s="1105"/>
      <c r="F72" s="1106"/>
      <c r="G72" s="1105"/>
      <c r="H72" s="1105"/>
      <c r="I72" s="2167"/>
      <c r="J72" s="2167"/>
      <c r="K72" s="2167"/>
      <c r="L72" s="1111"/>
    </row>
    <row r="73" spans="1:12" ht="7.5" customHeight="1">
      <c r="A73" s="2163" t="s">
        <v>2394</v>
      </c>
      <c r="B73" s="1111"/>
      <c r="C73" s="1105"/>
      <c r="D73" s="1106"/>
      <c r="E73" s="1105"/>
      <c r="F73" s="1106"/>
      <c r="G73" s="1105"/>
      <c r="H73" s="1105"/>
      <c r="I73" s="2167"/>
      <c r="J73" s="2167"/>
      <c r="K73" s="2167"/>
      <c r="L73" s="1111"/>
    </row>
    <row r="74" spans="1:12" ht="7.5" customHeight="1">
      <c r="A74" s="2163"/>
      <c r="B74" s="1110"/>
      <c r="C74" s="1105"/>
      <c r="D74" s="1106"/>
      <c r="E74" s="1105"/>
      <c r="F74" s="1106"/>
      <c r="G74" s="1105"/>
      <c r="H74" s="1105"/>
      <c r="I74" s="2167"/>
      <c r="J74" s="2167"/>
      <c r="K74" s="2167"/>
      <c r="L74" s="1111"/>
    </row>
    <row r="75" spans="1:12" ht="7.5" customHeight="1">
      <c r="A75" s="2163" t="s">
        <v>2395</v>
      </c>
      <c r="B75" s="1111"/>
      <c r="C75" s="1105"/>
      <c r="D75" s="1106"/>
      <c r="E75" s="1105"/>
      <c r="F75" s="1106"/>
      <c r="G75" s="1105"/>
      <c r="H75" s="1105"/>
      <c r="I75" s="2167"/>
      <c r="J75" s="2167"/>
      <c r="K75" s="2167"/>
      <c r="L75" s="1111"/>
    </row>
    <row r="76" spans="1:12" ht="7.5" customHeight="1">
      <c r="A76" s="2163"/>
      <c r="B76" s="1110"/>
      <c r="C76" s="1105"/>
      <c r="D76" s="1106"/>
      <c r="E76" s="1105"/>
      <c r="F76" s="1106"/>
      <c r="G76" s="1105"/>
      <c r="H76" s="1105"/>
      <c r="I76" s="2167"/>
      <c r="J76" s="2167"/>
      <c r="K76" s="2167"/>
      <c r="L76" s="1111"/>
    </row>
    <row r="77" spans="1:12" ht="7.5" customHeight="1">
      <c r="A77" s="2163" t="s">
        <v>2396</v>
      </c>
      <c r="B77" s="1111"/>
      <c r="C77" s="1105"/>
      <c r="D77" s="1106"/>
      <c r="E77" s="1105"/>
      <c r="F77" s="1106"/>
      <c r="G77" s="1105"/>
      <c r="H77" s="1105"/>
      <c r="I77" s="2167"/>
      <c r="J77" s="2167"/>
      <c r="K77" s="2167"/>
      <c r="L77" s="1111"/>
    </row>
    <row r="78" spans="1:12" ht="7.5" customHeight="1">
      <c r="A78" s="2163"/>
      <c r="B78" s="1115"/>
      <c r="C78" s="1105"/>
      <c r="D78" s="1106"/>
      <c r="E78" s="1105"/>
      <c r="F78" s="1106"/>
      <c r="G78" s="1105"/>
      <c r="H78" s="1105"/>
      <c r="I78" s="2167"/>
      <c r="J78" s="2167"/>
      <c r="K78" s="2167"/>
      <c r="L78" s="1111"/>
    </row>
    <row r="79" spans="1:12" ht="7.5" customHeight="1">
      <c r="A79" s="2168" t="s">
        <v>2397</v>
      </c>
      <c r="B79" s="1107"/>
      <c r="C79" s="1105"/>
      <c r="D79" s="1106"/>
      <c r="E79" s="1105"/>
      <c r="F79" s="1106"/>
      <c r="G79" s="1105"/>
      <c r="H79" s="1105"/>
      <c r="I79" s="2167"/>
      <c r="J79" s="2167"/>
      <c r="K79" s="2167"/>
      <c r="L79" s="1111"/>
    </row>
    <row r="80" spans="1:12" ht="7.5" customHeight="1">
      <c r="A80" s="2168"/>
      <c r="B80" s="1105"/>
      <c r="C80" s="1105"/>
      <c r="D80" s="1106"/>
      <c r="E80" s="1105"/>
      <c r="F80" s="1106"/>
      <c r="G80" s="1105"/>
      <c r="H80" s="1105"/>
      <c r="I80" s="1105"/>
      <c r="J80" s="1105"/>
      <c r="K80" s="1105"/>
      <c r="L80" s="1111"/>
    </row>
    <row r="81" spans="1:12" ht="7.5" customHeight="1">
      <c r="A81" s="2163"/>
      <c r="B81" s="1105"/>
      <c r="C81" s="1105"/>
      <c r="D81" s="1106"/>
      <c r="E81" s="1105"/>
      <c r="F81" s="1106"/>
      <c r="G81" s="1105"/>
      <c r="H81" s="1105"/>
      <c r="I81" s="1105"/>
      <c r="J81" s="1105"/>
      <c r="K81" s="1105"/>
      <c r="L81" s="1111"/>
    </row>
    <row r="82" spans="1:12" ht="7.5" customHeight="1">
      <c r="A82" s="2163"/>
      <c r="B82" s="1105"/>
      <c r="C82" s="1105"/>
      <c r="D82" s="1106"/>
      <c r="E82" s="1105"/>
      <c r="F82" s="1106"/>
      <c r="G82" s="1105"/>
      <c r="H82" s="1105"/>
      <c r="I82" s="1105"/>
      <c r="J82" s="1105"/>
      <c r="K82" s="1105"/>
      <c r="L82" s="1111"/>
    </row>
    <row r="83" spans="1:12" ht="7.5" customHeight="1">
      <c r="A83" s="2163" t="s">
        <v>2398</v>
      </c>
      <c r="B83" s="1113"/>
      <c r="C83" s="1105"/>
      <c r="D83" s="1106"/>
      <c r="E83" s="1105"/>
      <c r="F83" s="1106"/>
      <c r="G83" s="1105"/>
      <c r="H83" s="1105"/>
      <c r="I83" s="1105"/>
      <c r="J83" s="1105"/>
      <c r="K83" s="1105"/>
      <c r="L83" s="1111"/>
    </row>
    <row r="84" spans="1:12" ht="7.5" customHeight="1">
      <c r="A84" s="2163"/>
      <c r="B84" s="1110"/>
      <c r="C84" s="1105"/>
      <c r="D84" s="1106"/>
      <c r="E84" s="1105"/>
      <c r="F84" s="1106"/>
      <c r="G84" s="1105"/>
      <c r="H84" s="1105"/>
      <c r="I84" s="1105"/>
      <c r="J84" s="1105"/>
      <c r="K84" s="1105"/>
      <c r="L84" s="1111"/>
    </row>
    <row r="85" spans="1:12" ht="7.5" customHeight="1">
      <c r="A85" s="2163" t="s">
        <v>2399</v>
      </c>
      <c r="B85" s="1115"/>
      <c r="C85" s="1105"/>
      <c r="D85" s="1106"/>
      <c r="E85" s="1105"/>
      <c r="F85" s="1106"/>
      <c r="G85" s="1105"/>
      <c r="H85" s="1105"/>
      <c r="I85" s="1105"/>
      <c r="J85" s="1105"/>
      <c r="K85" s="1105"/>
      <c r="L85" s="1111"/>
    </row>
    <row r="86" spans="1:12" ht="7.5" customHeight="1">
      <c r="A86" s="2163"/>
      <c r="B86" s="1110"/>
      <c r="C86" s="1105"/>
      <c r="D86" s="1106"/>
      <c r="E86" s="1105"/>
      <c r="F86" s="1106"/>
      <c r="G86" s="1105"/>
      <c r="H86" s="1105"/>
      <c r="I86" s="1105"/>
      <c r="J86" s="1105"/>
      <c r="K86" s="1105"/>
      <c r="L86" s="1111"/>
    </row>
    <row r="87" spans="1:12" ht="7.5" customHeight="1">
      <c r="A87" s="2163" t="s">
        <v>2400</v>
      </c>
      <c r="B87" s="1115"/>
      <c r="C87" s="1105"/>
      <c r="D87" s="1106"/>
      <c r="E87" s="1105"/>
      <c r="F87" s="1106"/>
      <c r="G87" s="1105"/>
      <c r="H87" s="1105"/>
      <c r="I87" s="1105"/>
      <c r="J87" s="1105"/>
      <c r="K87" s="1105"/>
      <c r="L87" s="1111"/>
    </row>
    <row r="88" spans="1:12" ht="7.5" customHeight="1">
      <c r="A88" s="2163"/>
      <c r="B88" s="1110"/>
      <c r="C88" s="1105"/>
      <c r="D88" s="2163" t="s">
        <v>2401</v>
      </c>
      <c r="E88" s="1105"/>
      <c r="F88" s="1106"/>
      <c r="G88" s="1105"/>
      <c r="H88" s="1105"/>
      <c r="I88" s="1105"/>
      <c r="J88" s="1105"/>
      <c r="K88" s="1105"/>
      <c r="L88" s="1111"/>
    </row>
    <row r="89" spans="1:12" ht="7.5" customHeight="1">
      <c r="A89" s="2163" t="s">
        <v>2402</v>
      </c>
      <c r="B89" s="1115"/>
      <c r="C89" s="1105"/>
      <c r="D89" s="2163"/>
      <c r="E89" s="1105"/>
      <c r="F89" s="1106"/>
      <c r="G89" s="1105"/>
      <c r="H89" s="1105"/>
      <c r="I89" s="1105"/>
      <c r="J89" s="1105"/>
      <c r="K89" s="1105"/>
      <c r="L89" s="1115"/>
    </row>
    <row r="90" spans="1:12" ht="7.5" customHeight="1">
      <c r="A90" s="2163"/>
      <c r="B90" s="1110"/>
      <c r="C90" s="1109"/>
      <c r="D90" s="2163" t="s">
        <v>2403</v>
      </c>
      <c r="E90" s="1107"/>
      <c r="F90" s="1116"/>
      <c r="G90" s="1107"/>
      <c r="H90" s="1107"/>
      <c r="I90" s="1107"/>
      <c r="J90" s="1107"/>
      <c r="K90" s="1107"/>
      <c r="L90" s="1105"/>
    </row>
    <row r="91" spans="1:12" ht="7.5" customHeight="1">
      <c r="A91" s="2163" t="s">
        <v>2404</v>
      </c>
      <c r="B91" s="1115"/>
      <c r="C91" s="1105"/>
      <c r="D91" s="2163"/>
      <c r="E91" s="1105"/>
      <c r="F91" s="1106"/>
      <c r="G91" s="1105"/>
      <c r="H91" s="1105"/>
      <c r="I91" s="1105"/>
      <c r="J91" s="1105"/>
      <c r="K91" s="1105"/>
      <c r="L91" s="1105"/>
    </row>
    <row r="92" spans="1:12" ht="7.5" customHeight="1">
      <c r="A92" s="2163"/>
      <c r="B92" s="1110"/>
      <c r="C92" s="1105"/>
      <c r="D92" s="1106"/>
      <c r="E92" s="1105"/>
      <c r="F92" s="1106"/>
      <c r="G92" s="1105"/>
      <c r="H92" s="1105"/>
      <c r="I92" s="1105"/>
      <c r="J92" s="1105"/>
      <c r="K92" s="1105"/>
      <c r="L92" s="1105"/>
    </row>
    <row r="93" spans="1:12" ht="7.5" customHeight="1">
      <c r="A93" s="2163" t="s">
        <v>2405</v>
      </c>
      <c r="B93" s="1115"/>
      <c r="C93" s="1105"/>
      <c r="D93" s="1106"/>
      <c r="E93" s="1105"/>
      <c r="F93" s="1106"/>
      <c r="G93" s="1105"/>
      <c r="H93" s="1105"/>
      <c r="I93" s="1105"/>
      <c r="J93" s="1105"/>
      <c r="K93" s="1105"/>
      <c r="L93" s="1105"/>
    </row>
    <row r="94" spans="1:12" ht="7.5" customHeight="1">
      <c r="A94" s="2163"/>
      <c r="B94" s="1110"/>
      <c r="C94" s="1105"/>
      <c r="D94" s="1106"/>
      <c r="E94" s="1105"/>
      <c r="F94" s="1106"/>
      <c r="G94" s="1105"/>
      <c r="H94" s="1105"/>
      <c r="I94" s="1105"/>
      <c r="J94" s="1105"/>
      <c r="K94" s="1105"/>
      <c r="L94" s="1105"/>
    </row>
    <row r="95" spans="1:12" ht="7.5" customHeight="1">
      <c r="A95" s="2163" t="s">
        <v>2406</v>
      </c>
      <c r="B95" s="1115"/>
      <c r="C95" s="1105"/>
      <c r="D95" s="1106"/>
      <c r="E95" s="1105"/>
      <c r="F95" s="1106"/>
      <c r="G95" s="1105"/>
      <c r="H95" s="1105"/>
      <c r="I95" s="1105"/>
      <c r="J95" s="1105"/>
      <c r="K95" s="1105"/>
      <c r="L95" s="1105"/>
    </row>
    <row r="96" spans="1:12" ht="7.5" customHeight="1">
      <c r="A96" s="2163"/>
      <c r="B96" s="1107"/>
      <c r="C96" s="1105"/>
      <c r="D96" s="1106"/>
      <c r="E96" s="1105"/>
      <c r="F96" s="1106"/>
      <c r="G96" s="1105"/>
      <c r="H96" s="1105"/>
      <c r="I96" s="1105"/>
      <c r="J96" s="1105"/>
      <c r="K96" s="1105"/>
      <c r="L96" s="1105"/>
    </row>
    <row r="97" spans="1:12" ht="7.5" customHeight="1">
      <c r="A97" s="2169"/>
      <c r="B97" s="1105"/>
      <c r="C97" s="1105"/>
      <c r="D97" s="1106"/>
      <c r="E97" s="1105"/>
      <c r="F97" s="1106"/>
      <c r="G97" s="1105"/>
      <c r="H97" s="1105"/>
      <c r="I97" s="1105"/>
      <c r="J97" s="1105"/>
      <c r="K97" s="1105"/>
      <c r="L97" s="1105"/>
    </row>
    <row r="98" spans="1:12" ht="7.5" customHeight="1">
      <c r="A98" s="2169"/>
      <c r="B98" s="1105"/>
      <c r="C98" s="1105"/>
      <c r="D98" s="1106"/>
      <c r="E98" s="1105"/>
      <c r="F98" s="1106"/>
      <c r="G98" s="1105"/>
      <c r="H98" s="1105"/>
      <c r="I98" s="1105"/>
      <c r="J98" s="1105"/>
      <c r="K98" s="1105"/>
      <c r="L98" s="1105"/>
    </row>
    <row r="99" spans="1:12" ht="7.5" customHeight="1">
      <c r="A99" s="1105"/>
      <c r="B99" s="1105"/>
      <c r="C99" s="1105"/>
      <c r="D99" s="1106"/>
      <c r="E99" s="1105"/>
      <c r="F99" s="1106"/>
      <c r="G99" s="1105"/>
      <c r="H99" s="1105"/>
      <c r="I99" s="1105"/>
      <c r="J99" s="1105"/>
      <c r="K99" s="1105"/>
      <c r="L99" s="1105"/>
    </row>
    <row r="100" spans="1:12" ht="7.5" customHeight="1">
      <c r="A100" s="1105"/>
      <c r="B100" s="1105"/>
      <c r="C100" s="1105"/>
      <c r="D100" s="1106"/>
      <c r="E100" s="1105"/>
      <c r="F100" s="1106"/>
      <c r="G100" s="1105"/>
      <c r="H100" s="1105"/>
      <c r="I100" s="1105"/>
      <c r="J100" s="1105"/>
      <c r="K100" s="1105"/>
      <c r="L100" s="1105"/>
    </row>
    <row r="101" spans="1:12" ht="7.5" customHeight="1">
      <c r="A101" s="1105"/>
      <c r="B101" s="1105"/>
      <c r="C101" s="1105"/>
      <c r="D101" s="1106"/>
      <c r="E101" s="1105"/>
      <c r="F101" s="1106"/>
      <c r="G101" s="1105"/>
      <c r="H101" s="1105"/>
      <c r="I101" s="1105"/>
      <c r="J101" s="1105"/>
      <c r="K101" s="1105"/>
      <c r="L101" s="1105"/>
    </row>
    <row r="102" spans="1:12" ht="7.5" customHeight="1">
      <c r="A102" s="1105"/>
      <c r="B102" s="1105"/>
      <c r="C102" s="1105"/>
      <c r="D102" s="1106"/>
      <c r="E102" s="1105"/>
      <c r="F102" s="1106"/>
      <c r="G102" s="1105"/>
      <c r="H102" s="1105"/>
      <c r="I102" s="1105"/>
      <c r="J102" s="1105"/>
      <c r="K102" s="1105"/>
      <c r="L102" s="1105"/>
    </row>
    <row r="103" spans="1:12" ht="7.5" customHeight="1">
      <c r="A103" s="1105"/>
      <c r="B103" s="1105"/>
      <c r="C103" s="1105"/>
      <c r="D103" s="1106"/>
      <c r="E103" s="1105"/>
      <c r="F103" s="1106"/>
      <c r="G103" s="1105"/>
      <c r="H103" s="1105"/>
      <c r="I103" s="1105"/>
      <c r="J103" s="1105"/>
      <c r="K103" s="1105"/>
      <c r="L103" s="1105"/>
    </row>
    <row r="104" spans="1:12" ht="7.5" customHeight="1">
      <c r="A104" s="1105"/>
      <c r="B104" s="1105"/>
      <c r="C104" s="1105"/>
      <c r="D104" s="1106"/>
      <c r="E104" s="1105"/>
      <c r="F104" s="1106"/>
      <c r="G104" s="1105"/>
      <c r="H104" s="1105"/>
      <c r="I104" s="1105"/>
      <c r="J104" s="1105"/>
      <c r="K104" s="1105"/>
      <c r="L104" s="1105"/>
    </row>
    <row r="105" spans="1:12" ht="7.5" customHeight="1">
      <c r="A105" s="1105"/>
      <c r="B105" s="1105"/>
      <c r="C105" s="1105"/>
      <c r="D105" s="1106"/>
      <c r="E105" s="1105"/>
      <c r="F105" s="1106"/>
      <c r="G105" s="1105"/>
      <c r="H105" s="1105"/>
      <c r="I105" s="1105"/>
      <c r="J105" s="1105"/>
      <c r="K105" s="1105"/>
      <c r="L105" s="1105"/>
    </row>
    <row r="106" spans="1:12" ht="7.5" customHeight="1">
      <c r="A106" s="1105"/>
      <c r="B106" s="1105"/>
      <c r="C106" s="1105"/>
      <c r="D106" s="1106"/>
      <c r="E106" s="1105"/>
      <c r="F106" s="1106"/>
      <c r="G106" s="1105"/>
      <c r="H106" s="1105"/>
      <c r="I106" s="1105"/>
      <c r="J106" s="1105"/>
      <c r="K106" s="1105"/>
      <c r="L106" s="1105"/>
    </row>
    <row r="107" spans="1:12" ht="7.5" customHeight="1">
      <c r="A107" s="1105"/>
      <c r="B107" s="1105"/>
      <c r="C107" s="1105"/>
      <c r="D107" s="1106"/>
      <c r="E107" s="1105"/>
      <c r="F107" s="1106"/>
      <c r="G107" s="1105"/>
      <c r="H107" s="1105"/>
      <c r="I107" s="1105"/>
      <c r="J107" s="1105"/>
      <c r="K107" s="1105"/>
      <c r="L107" s="1105"/>
    </row>
    <row r="108" spans="1:12" ht="7.5" customHeight="1">
      <c r="A108" s="1105"/>
      <c r="B108" s="1105"/>
      <c r="C108" s="1105"/>
      <c r="D108" s="1106"/>
      <c r="E108" s="1105"/>
      <c r="F108" s="1106"/>
      <c r="G108" s="1105"/>
      <c r="H108" s="1105"/>
      <c r="I108" s="1105"/>
      <c r="J108" s="1105"/>
      <c r="K108" s="1105"/>
      <c r="L108" s="1105"/>
    </row>
    <row r="109" spans="1:12" ht="7.5" customHeight="1">
      <c r="A109" s="1105"/>
      <c r="B109" s="1105"/>
      <c r="C109" s="1105"/>
      <c r="D109" s="1106"/>
      <c r="E109" s="1105"/>
      <c r="F109" s="1106"/>
      <c r="G109" s="1105"/>
      <c r="H109" s="1105"/>
      <c r="I109" s="1105"/>
      <c r="J109" s="1105"/>
      <c r="K109" s="1105"/>
      <c r="L109" s="1105"/>
    </row>
    <row r="110" spans="1:12" ht="7.5" customHeight="1">
      <c r="A110" s="1105"/>
      <c r="B110" s="1105"/>
      <c r="C110" s="1105"/>
      <c r="D110" s="1106"/>
      <c r="E110" s="1105"/>
      <c r="F110" s="1106"/>
      <c r="G110" s="1105"/>
      <c r="H110" s="1105"/>
      <c r="I110" s="1105"/>
      <c r="J110" s="1105"/>
      <c r="K110" s="1105"/>
      <c r="L110" s="1105"/>
    </row>
    <row r="111" spans="1:12" ht="7.5" customHeight="1">
      <c r="A111" s="1105"/>
      <c r="B111" s="1105"/>
      <c r="C111" s="1105"/>
      <c r="D111" s="1106"/>
      <c r="E111" s="1105"/>
      <c r="F111" s="1106"/>
      <c r="G111" s="1105"/>
      <c r="H111" s="1105"/>
      <c r="I111" s="1105"/>
      <c r="J111" s="1105"/>
      <c r="K111" s="1105"/>
      <c r="L111" s="1105"/>
    </row>
    <row r="112" spans="1:12" ht="7.5" customHeight="1">
      <c r="A112" s="1105"/>
      <c r="B112" s="1105"/>
      <c r="C112" s="1105"/>
      <c r="D112" s="1106"/>
      <c r="E112" s="1105"/>
      <c r="F112" s="1106"/>
      <c r="G112" s="1105"/>
      <c r="H112" s="1105"/>
      <c r="I112" s="1105"/>
      <c r="J112" s="1105"/>
      <c r="K112" s="1105"/>
      <c r="L112" s="1105"/>
    </row>
    <row r="113" spans="1:12" ht="7.5" customHeight="1">
      <c r="A113" s="1105"/>
      <c r="B113" s="1105"/>
      <c r="C113" s="1105"/>
      <c r="D113" s="1106"/>
      <c r="E113" s="1105"/>
      <c r="F113" s="1106"/>
      <c r="G113" s="1105"/>
      <c r="H113" s="1105"/>
      <c r="I113" s="1105"/>
      <c r="J113" s="1105"/>
      <c r="K113" s="1105"/>
      <c r="L113" s="1105"/>
    </row>
    <row r="114" spans="1:12" ht="7.5" customHeight="1">
      <c r="A114" s="1105"/>
      <c r="B114" s="1105"/>
      <c r="C114" s="1105"/>
      <c r="D114" s="1106"/>
      <c r="E114" s="1105"/>
      <c r="F114" s="1106"/>
      <c r="G114" s="1105"/>
      <c r="H114" s="1105"/>
      <c r="I114" s="1105"/>
      <c r="J114" s="1105"/>
      <c r="K114" s="1105"/>
      <c r="L114" s="1105"/>
    </row>
    <row r="115" spans="1:12" ht="7.5" customHeight="1">
      <c r="A115" s="1105"/>
      <c r="B115" s="1105"/>
      <c r="C115" s="1105"/>
      <c r="D115" s="1106"/>
      <c r="E115" s="1105"/>
      <c r="F115" s="1106"/>
      <c r="G115" s="1105"/>
      <c r="H115" s="1105"/>
      <c r="I115" s="1105"/>
      <c r="J115" s="1105"/>
      <c r="K115" s="1105"/>
      <c r="L115" s="1105"/>
    </row>
    <row r="116" spans="1:12" ht="7.5" customHeight="1">
      <c r="A116" s="1105"/>
      <c r="B116" s="1105"/>
      <c r="C116" s="1105"/>
      <c r="D116" s="1106"/>
      <c r="E116" s="1105"/>
      <c r="F116" s="1106"/>
      <c r="G116" s="1105"/>
      <c r="H116" s="1105"/>
      <c r="I116" s="1105"/>
      <c r="J116" s="1105"/>
      <c r="K116" s="1105"/>
      <c r="L116" s="1105"/>
    </row>
    <row r="117" spans="1:12" ht="7.5" customHeight="1">
      <c r="A117" s="1105"/>
      <c r="B117" s="1105"/>
      <c r="C117" s="1105"/>
      <c r="D117" s="1106"/>
      <c r="E117" s="1105"/>
      <c r="F117" s="1106"/>
      <c r="G117" s="1105"/>
      <c r="H117" s="1105"/>
      <c r="I117" s="1105"/>
      <c r="J117" s="1105"/>
      <c r="K117" s="1105"/>
      <c r="L117" s="1105"/>
    </row>
    <row r="118" spans="1:12" ht="7.5" customHeight="1">
      <c r="A118" s="1105"/>
      <c r="B118" s="1105"/>
      <c r="C118" s="1105"/>
      <c r="D118" s="1105"/>
      <c r="E118" s="1105"/>
      <c r="F118" s="1106"/>
      <c r="G118" s="1105"/>
      <c r="H118" s="1105"/>
      <c r="I118" s="1105"/>
      <c r="J118" s="1105"/>
      <c r="K118" s="1105"/>
      <c r="L118" s="1105"/>
    </row>
    <row r="119" spans="1:12" ht="8.25" customHeight="1">
      <c r="A119" s="1105"/>
      <c r="B119" s="1105"/>
      <c r="C119" s="1105"/>
      <c r="D119" s="1105"/>
      <c r="E119" s="1105"/>
      <c r="F119" s="1106"/>
      <c r="G119" s="1105"/>
      <c r="H119" s="1105"/>
      <c r="I119" s="1105"/>
      <c r="J119" s="1105"/>
      <c r="K119" s="1105"/>
      <c r="L119" s="1105"/>
    </row>
    <row r="120" spans="1:12" ht="8.25" customHeight="1">
      <c r="A120" s="1105"/>
      <c r="B120" s="1105"/>
      <c r="C120" s="1105"/>
      <c r="D120" s="1105"/>
      <c r="E120" s="1105"/>
      <c r="F120" s="1106"/>
      <c r="G120" s="1105"/>
      <c r="H120" s="1105"/>
      <c r="I120" s="1105"/>
      <c r="J120" s="1105"/>
      <c r="K120" s="1105"/>
      <c r="L120" s="1105"/>
    </row>
    <row r="121" spans="1:12" ht="8.25" customHeight="1">
      <c r="A121" s="1105"/>
      <c r="B121" s="1105"/>
      <c r="C121" s="1105"/>
      <c r="D121" s="1105"/>
      <c r="E121" s="1105"/>
      <c r="F121" s="1106"/>
      <c r="G121" s="1105"/>
      <c r="H121" s="1105"/>
      <c r="I121" s="1105"/>
      <c r="J121" s="1105"/>
      <c r="K121" s="1105"/>
      <c r="L121" s="1105"/>
    </row>
    <row r="122" spans="1:12" ht="8.25" customHeight="1">
      <c r="A122" s="1105"/>
      <c r="B122" s="1105"/>
      <c r="C122" s="1105"/>
      <c r="D122" s="1105"/>
      <c r="E122" s="1105"/>
      <c r="F122" s="1106"/>
      <c r="G122" s="1105"/>
      <c r="H122" s="1105"/>
      <c r="I122" s="1105"/>
      <c r="J122" s="1105"/>
      <c r="K122" s="1105"/>
      <c r="L122" s="1105"/>
    </row>
    <row r="123" spans="1:12" ht="8.25" customHeight="1">
      <c r="A123" s="1105"/>
      <c r="B123" s="1105"/>
      <c r="C123" s="1105"/>
      <c r="D123" s="1105"/>
      <c r="E123" s="1105"/>
      <c r="F123" s="1106"/>
      <c r="G123" s="1105"/>
      <c r="H123" s="1105"/>
      <c r="I123" s="1105"/>
      <c r="J123" s="1105"/>
      <c r="K123" s="1105"/>
      <c r="L123" s="1105"/>
    </row>
    <row r="124" spans="1:12" ht="8.25" customHeight="1">
      <c r="A124" s="1105"/>
      <c r="B124" s="1105"/>
      <c r="C124" s="1105"/>
      <c r="D124" s="1105"/>
      <c r="E124" s="1105"/>
      <c r="F124" s="1106"/>
      <c r="G124" s="1105"/>
      <c r="H124" s="1105"/>
      <c r="I124" s="1105"/>
      <c r="J124" s="1105"/>
      <c r="K124" s="1105"/>
      <c r="L124" s="1105"/>
    </row>
    <row r="125" spans="1:12" ht="8.25" customHeight="1">
      <c r="A125" s="1105"/>
      <c r="B125" s="1105"/>
      <c r="C125" s="1105"/>
      <c r="D125" s="1105"/>
      <c r="E125" s="1105"/>
      <c r="F125" s="1106"/>
      <c r="G125" s="1105"/>
      <c r="H125" s="1105"/>
      <c r="I125" s="1105"/>
      <c r="J125" s="1105"/>
      <c r="K125" s="1105"/>
      <c r="L125" s="1105"/>
    </row>
    <row r="126" spans="1:12" ht="8.25" customHeight="1">
      <c r="A126" s="1105"/>
      <c r="B126" s="1105"/>
      <c r="C126" s="1105"/>
      <c r="D126" s="1105"/>
      <c r="E126" s="1105"/>
      <c r="F126" s="1106"/>
      <c r="G126" s="1105"/>
      <c r="H126" s="1105"/>
      <c r="I126" s="1105"/>
      <c r="J126" s="1105"/>
      <c r="K126" s="1105"/>
      <c r="L126" s="1105"/>
    </row>
    <row r="127" spans="1:12" ht="8.25" customHeight="1">
      <c r="A127" s="1105"/>
      <c r="B127" s="1105"/>
      <c r="C127" s="1105"/>
      <c r="D127" s="1105"/>
      <c r="E127" s="1105"/>
      <c r="F127" s="1106"/>
      <c r="G127" s="1105"/>
      <c r="H127" s="1105"/>
      <c r="I127" s="1105"/>
      <c r="J127" s="1105"/>
      <c r="K127" s="1105"/>
      <c r="L127" s="1105"/>
    </row>
    <row r="128" spans="1:12" ht="8.25" customHeight="1">
      <c r="A128" s="1105"/>
      <c r="B128" s="1105"/>
      <c r="C128" s="1105"/>
      <c r="D128" s="1105"/>
      <c r="E128" s="1105"/>
      <c r="F128" s="1106"/>
      <c r="G128" s="1105"/>
      <c r="H128" s="1105"/>
      <c r="I128" s="1105"/>
      <c r="J128" s="1105"/>
      <c r="K128" s="1105"/>
      <c r="L128" s="1105"/>
    </row>
    <row r="129" spans="1:12" ht="8.25" customHeight="1">
      <c r="A129" s="1105"/>
      <c r="B129" s="1105"/>
      <c r="C129" s="1105"/>
      <c r="D129" s="1105"/>
      <c r="E129" s="1105"/>
      <c r="F129" s="1106"/>
      <c r="G129" s="1105"/>
      <c r="H129" s="1105"/>
      <c r="I129" s="1105"/>
      <c r="J129" s="1105"/>
      <c r="K129" s="1105"/>
      <c r="L129" s="1105"/>
    </row>
    <row r="130" spans="1:12" ht="8.25" customHeight="1">
      <c r="A130" s="1105"/>
      <c r="B130" s="1105"/>
      <c r="C130" s="1105"/>
      <c r="D130" s="1105"/>
      <c r="E130" s="1105"/>
      <c r="F130" s="1106"/>
      <c r="G130" s="1105"/>
      <c r="H130" s="1105"/>
      <c r="I130" s="1105"/>
      <c r="J130" s="1105"/>
      <c r="K130" s="1105"/>
      <c r="L130" s="1105"/>
    </row>
    <row r="131" spans="1:12" ht="8.25" customHeight="1">
      <c r="A131" s="1105"/>
      <c r="B131" s="1105"/>
      <c r="C131" s="1105"/>
      <c r="D131" s="1105"/>
      <c r="E131" s="1105"/>
      <c r="F131" s="1106"/>
      <c r="G131" s="1105"/>
      <c r="H131" s="1105"/>
      <c r="I131" s="1105"/>
      <c r="J131" s="1105"/>
      <c r="K131" s="1105"/>
      <c r="L131" s="1105"/>
    </row>
    <row r="132" spans="1:12" ht="8.25" customHeight="1">
      <c r="A132" s="1105"/>
      <c r="B132" s="1105"/>
      <c r="C132" s="1105"/>
      <c r="D132" s="1105"/>
      <c r="E132" s="1105"/>
      <c r="F132" s="1106"/>
      <c r="G132" s="1105"/>
      <c r="H132" s="1105"/>
      <c r="I132" s="1105"/>
      <c r="J132" s="1105"/>
      <c r="K132" s="1105"/>
      <c r="L132" s="1105"/>
    </row>
    <row r="133" spans="1:12" ht="8.25" customHeight="1"/>
    <row r="134" spans="1:12" ht="8.25" customHeight="1"/>
    <row r="135" spans="1:12" ht="8.25" customHeight="1"/>
    <row r="136" spans="1:12" ht="8.25" customHeight="1"/>
    <row r="137" spans="1:12" ht="8.25" customHeight="1"/>
    <row r="138" spans="1:12" ht="8.25" customHeight="1"/>
    <row r="139" spans="1:12" ht="8.25" customHeight="1"/>
    <row r="140" spans="1:12" ht="8.25" customHeight="1"/>
    <row r="141" spans="1:12" ht="8.25" customHeight="1"/>
    <row r="142" spans="1:12" ht="8.25" customHeight="1"/>
    <row r="143" spans="1:12" ht="8.25" customHeight="1"/>
    <row r="144" spans="1:12" ht="8.25" customHeight="1"/>
    <row r="145" ht="8.25" customHeight="1"/>
    <row r="146" ht="8.25" customHeight="1"/>
    <row r="147" ht="8.25" customHeight="1"/>
    <row r="148" ht="8.25" customHeight="1"/>
    <row r="149" ht="8.25" customHeight="1"/>
    <row r="150" ht="8.25" customHeight="1"/>
    <row r="151" ht="8.25" customHeight="1"/>
    <row r="152" ht="8.25" customHeight="1"/>
    <row r="153" ht="8.25" customHeight="1"/>
    <row r="154" ht="8.25" customHeight="1"/>
    <row r="155" ht="8.25" customHeight="1"/>
  </sheetData>
  <mergeCells count="68">
    <mergeCell ref="A93:A94"/>
    <mergeCell ref="A95:A96"/>
    <mergeCell ref="A97:A98"/>
    <mergeCell ref="A81:A82"/>
    <mergeCell ref="A83:A84"/>
    <mergeCell ref="A85:A86"/>
    <mergeCell ref="A87:A88"/>
    <mergeCell ref="D88:D89"/>
    <mergeCell ref="A89:A90"/>
    <mergeCell ref="D90:D91"/>
    <mergeCell ref="A91:A92"/>
    <mergeCell ref="D68:D69"/>
    <mergeCell ref="A69:A70"/>
    <mergeCell ref="D70:D71"/>
    <mergeCell ref="A67:A68"/>
    <mergeCell ref="I70:K79"/>
    <mergeCell ref="A71:A72"/>
    <mergeCell ref="A73:A74"/>
    <mergeCell ref="A75:A76"/>
    <mergeCell ref="A77:A78"/>
    <mergeCell ref="A79:A80"/>
    <mergeCell ref="A57:A58"/>
    <mergeCell ref="A59:A60"/>
    <mergeCell ref="A61:A62"/>
    <mergeCell ref="A63:A64"/>
    <mergeCell ref="A65:A66"/>
    <mergeCell ref="D48:D49"/>
    <mergeCell ref="A49:A50"/>
    <mergeCell ref="D50:D51"/>
    <mergeCell ref="A51:A52"/>
    <mergeCell ref="A53:A54"/>
    <mergeCell ref="A55:A56"/>
    <mergeCell ref="A37:A38"/>
    <mergeCell ref="A39:A40"/>
    <mergeCell ref="A41:A42"/>
    <mergeCell ref="A43:A44"/>
    <mergeCell ref="A45:A46"/>
    <mergeCell ref="A47:A48"/>
    <mergeCell ref="A29:A30"/>
    <mergeCell ref="A31:A32"/>
    <mergeCell ref="D32:D33"/>
    <mergeCell ref="A33:A34"/>
    <mergeCell ref="D34:D35"/>
    <mergeCell ref="A35:A36"/>
    <mergeCell ref="A21:A22"/>
    <mergeCell ref="A23:A24"/>
    <mergeCell ref="K24:K25"/>
    <mergeCell ref="N24:N25"/>
    <mergeCell ref="A25:A26"/>
    <mergeCell ref="K26:K27"/>
    <mergeCell ref="N26:N27"/>
    <mergeCell ref="A27:A28"/>
    <mergeCell ref="A9:A10"/>
    <mergeCell ref="A11:A12"/>
    <mergeCell ref="A13:A14"/>
    <mergeCell ref="A15:A16"/>
    <mergeCell ref="D16:D17"/>
    <mergeCell ref="A17:A18"/>
    <mergeCell ref="D18:D19"/>
    <mergeCell ref="A19:A20"/>
    <mergeCell ref="A4:A5"/>
    <mergeCell ref="D4:D5"/>
    <mergeCell ref="F4:F5"/>
    <mergeCell ref="H4:H5"/>
    <mergeCell ref="A6:A7"/>
    <mergeCell ref="D6:D7"/>
    <mergeCell ref="F6:F7"/>
    <mergeCell ref="H6:H7"/>
  </mergeCells>
  <phoneticPr fontId="4"/>
  <pageMargins left="1.1417322834645669" right="0.62992125984251968" top="0.98425196850393704" bottom="0.98425196850393704" header="0.51181102362204722" footer="0.51181102362204722"/>
  <pageSetup paperSize="9" scale="8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8A132-D3CB-4E88-AEBB-806C77C1F403}">
  <sheetPr codeName="Sheet40">
    <pageSetUpPr fitToPage="1"/>
  </sheetPr>
  <dimension ref="A1:N16"/>
  <sheetViews>
    <sheetView workbookViewId="0"/>
  </sheetViews>
  <sheetFormatPr defaultColWidth="9" defaultRowHeight="13.2"/>
  <cols>
    <col min="1" max="1" width="7.19921875" style="2" customWidth="1"/>
    <col min="2" max="3" width="4.09765625" style="2" customWidth="1"/>
    <col min="4" max="13" width="7.09765625" style="2" customWidth="1"/>
    <col min="14" max="16384" width="9" style="2"/>
  </cols>
  <sheetData>
    <row r="1" spans="1:14" ht="30" customHeight="1">
      <c r="A1" s="259" t="s">
        <v>853</v>
      </c>
      <c r="B1" s="259"/>
      <c r="C1" s="259"/>
      <c r="D1" s="259"/>
      <c r="E1" s="259"/>
    </row>
    <row r="2" spans="1:14" ht="16.8" thickBot="1">
      <c r="A2" s="259"/>
      <c r="B2" s="259"/>
      <c r="C2" s="259"/>
      <c r="D2" s="259"/>
      <c r="E2" s="259"/>
      <c r="M2" s="343" t="s">
        <v>836</v>
      </c>
    </row>
    <row r="3" spans="1:14" s="11" customFormat="1" ht="26.25" customHeight="1">
      <c r="A3" s="2532" t="s">
        <v>854</v>
      </c>
      <c r="B3" s="2527" t="s">
        <v>855</v>
      </c>
      <c r="C3" s="2527" t="s">
        <v>839</v>
      </c>
      <c r="D3" s="2533" t="s">
        <v>856</v>
      </c>
      <c r="E3" s="2534"/>
      <c r="F3" s="2535"/>
      <c r="G3" s="257" t="s">
        <v>857</v>
      </c>
      <c r="H3" s="2533" t="s">
        <v>858</v>
      </c>
      <c r="I3" s="2534"/>
      <c r="J3" s="2534"/>
      <c r="K3" s="2534"/>
      <c r="L3" s="2534"/>
      <c r="M3" s="2534"/>
    </row>
    <row r="4" spans="1:14" s="11" customFormat="1" ht="26.25" customHeight="1">
      <c r="A4" s="2275"/>
      <c r="B4" s="2528"/>
      <c r="C4" s="2528"/>
      <c r="D4" s="130" t="s">
        <v>859</v>
      </c>
      <c r="E4" s="130" t="s">
        <v>164</v>
      </c>
      <c r="F4" s="131" t="s">
        <v>165</v>
      </c>
      <c r="G4" s="246" t="s">
        <v>860</v>
      </c>
      <c r="H4" s="246" t="s">
        <v>861</v>
      </c>
      <c r="I4" s="246" t="s">
        <v>862</v>
      </c>
      <c r="J4" s="246" t="s">
        <v>863</v>
      </c>
      <c r="K4" s="246" t="s">
        <v>864</v>
      </c>
      <c r="L4" s="246" t="s">
        <v>865</v>
      </c>
      <c r="M4" s="254" t="s">
        <v>866</v>
      </c>
    </row>
    <row r="5" spans="1:14" s="11" customFormat="1" ht="26.25" customHeight="1">
      <c r="A5" s="97"/>
      <c r="B5" s="256" t="s">
        <v>867</v>
      </c>
      <c r="C5" s="256" t="s">
        <v>850</v>
      </c>
      <c r="D5" s="98" t="s">
        <v>167</v>
      </c>
      <c r="E5" s="98" t="s">
        <v>167</v>
      </c>
      <c r="F5" s="34" t="s">
        <v>167</v>
      </c>
      <c r="G5" s="98" t="s">
        <v>167</v>
      </c>
      <c r="H5" s="98" t="s">
        <v>167</v>
      </c>
      <c r="I5" s="98" t="s">
        <v>167</v>
      </c>
      <c r="J5" s="98" t="s">
        <v>167</v>
      </c>
      <c r="K5" s="98" t="s">
        <v>167</v>
      </c>
      <c r="L5" s="98" t="s">
        <v>167</v>
      </c>
      <c r="M5" s="36" t="s">
        <v>167</v>
      </c>
    </row>
    <row r="6" spans="1:14" s="11" customFormat="1" ht="26.25" customHeight="1">
      <c r="A6" s="595" t="s">
        <v>43</v>
      </c>
      <c r="B6" s="256">
        <v>5</v>
      </c>
      <c r="C6" s="229">
        <v>64</v>
      </c>
      <c r="D6" s="229">
        <v>1053</v>
      </c>
      <c r="E6" s="604">
        <v>566</v>
      </c>
      <c r="F6" s="605">
        <v>487</v>
      </c>
      <c r="G6" s="606">
        <v>99</v>
      </c>
      <c r="H6" s="229">
        <v>159</v>
      </c>
      <c r="I6" s="229">
        <v>171</v>
      </c>
      <c r="J6" s="229">
        <v>165</v>
      </c>
      <c r="K6" s="229">
        <v>160</v>
      </c>
      <c r="L6" s="229">
        <v>198</v>
      </c>
      <c r="M6" s="411">
        <v>200</v>
      </c>
    </row>
    <row r="7" spans="1:14" s="11" customFormat="1" ht="26.25" customHeight="1">
      <c r="A7" s="595">
        <v>3</v>
      </c>
      <c r="B7" s="256">
        <v>5</v>
      </c>
      <c r="C7" s="229">
        <v>61</v>
      </c>
      <c r="D7" s="229">
        <f>+SUM(E7:F7)</f>
        <v>981</v>
      </c>
      <c r="E7" s="604">
        <v>526</v>
      </c>
      <c r="F7" s="605">
        <v>455</v>
      </c>
      <c r="G7" s="606">
        <v>96</v>
      </c>
      <c r="H7" s="229">
        <v>130</v>
      </c>
      <c r="I7" s="229">
        <v>156</v>
      </c>
      <c r="J7" s="229">
        <v>175</v>
      </c>
      <c r="K7" s="229">
        <v>167</v>
      </c>
      <c r="L7" s="229">
        <v>161</v>
      </c>
      <c r="M7" s="411">
        <v>192</v>
      </c>
      <c r="N7" s="189"/>
    </row>
    <row r="8" spans="1:14" s="11" customFormat="1" ht="26.25" customHeight="1">
      <c r="A8" s="595">
        <v>4</v>
      </c>
      <c r="B8" s="256">
        <v>5</v>
      </c>
      <c r="C8" s="450">
        <v>62</v>
      </c>
      <c r="D8" s="450">
        <v>963</v>
      </c>
      <c r="E8" s="607">
        <v>507</v>
      </c>
      <c r="F8" s="608">
        <v>456</v>
      </c>
      <c r="G8" s="609">
        <v>98</v>
      </c>
      <c r="H8" s="450">
        <v>155</v>
      </c>
      <c r="I8" s="450">
        <v>174</v>
      </c>
      <c r="J8" s="450">
        <v>130</v>
      </c>
      <c r="K8" s="450">
        <v>159</v>
      </c>
      <c r="L8" s="450">
        <v>174</v>
      </c>
      <c r="M8" s="441">
        <v>171</v>
      </c>
      <c r="N8" s="189"/>
    </row>
    <row r="9" spans="1:14" s="11" customFormat="1" ht="26.25" customHeight="1">
      <c r="A9" s="595">
        <v>5</v>
      </c>
      <c r="B9" s="256">
        <v>4</v>
      </c>
      <c r="C9" s="450">
        <v>54</v>
      </c>
      <c r="D9" s="450">
        <v>876</v>
      </c>
      <c r="E9" s="607">
        <v>466</v>
      </c>
      <c r="F9" s="608">
        <v>410</v>
      </c>
      <c r="G9" s="609">
        <v>84</v>
      </c>
      <c r="H9" s="450">
        <v>123</v>
      </c>
      <c r="I9" s="450">
        <v>151</v>
      </c>
      <c r="J9" s="450">
        <v>163</v>
      </c>
      <c r="K9" s="450">
        <v>125</v>
      </c>
      <c r="L9" s="450">
        <v>150</v>
      </c>
      <c r="M9" s="441">
        <v>164</v>
      </c>
      <c r="N9" s="189"/>
    </row>
    <row r="10" spans="1:14" s="11" customFormat="1" ht="26.25" customHeight="1">
      <c r="A10" s="595">
        <v>6</v>
      </c>
      <c r="B10" s="546">
        <v>4</v>
      </c>
      <c r="C10" s="450">
        <v>52</v>
      </c>
      <c r="D10" s="450">
        <v>835</v>
      </c>
      <c r="E10" s="607">
        <v>444</v>
      </c>
      <c r="F10" s="608">
        <v>391</v>
      </c>
      <c r="G10" s="609">
        <v>81</v>
      </c>
      <c r="H10" s="450">
        <v>128</v>
      </c>
      <c r="I10" s="450">
        <v>121</v>
      </c>
      <c r="J10" s="450">
        <v>150</v>
      </c>
      <c r="K10" s="450">
        <v>163</v>
      </c>
      <c r="L10" s="450">
        <v>124</v>
      </c>
      <c r="M10" s="441">
        <v>149</v>
      </c>
      <c r="N10" s="189"/>
    </row>
    <row r="11" spans="1:14" s="11" customFormat="1" ht="26.25" customHeight="1" thickBot="1">
      <c r="A11" s="598"/>
      <c r="B11" s="535"/>
      <c r="C11" s="452"/>
      <c r="D11" s="452"/>
      <c r="E11" s="610"/>
      <c r="F11" s="611"/>
      <c r="G11" s="612"/>
      <c r="H11" s="452"/>
      <c r="I11" s="452"/>
      <c r="J11" s="452"/>
      <c r="K11" s="452"/>
      <c r="L11" s="452"/>
      <c r="M11" s="613"/>
      <c r="N11" s="189"/>
    </row>
    <row r="12" spans="1:14" s="11" customFormat="1" ht="26.25" customHeight="1">
      <c r="A12" s="258" t="s">
        <v>868</v>
      </c>
      <c r="B12" s="258"/>
      <c r="C12" s="258"/>
      <c r="D12" s="258"/>
      <c r="E12" s="258"/>
    </row>
    <row r="13" spans="1:14" ht="26.25" customHeight="1">
      <c r="J13" s="614"/>
    </row>
    <row r="14" spans="1:14" ht="26.25" customHeight="1"/>
    <row r="15" spans="1:14" ht="26.25" customHeight="1">
      <c r="L15" s="614"/>
    </row>
    <row r="16" spans="1:14" ht="26.25" customHeight="1"/>
  </sheetData>
  <mergeCells count="5">
    <mergeCell ref="A3:A4"/>
    <mergeCell ref="B3:B4"/>
    <mergeCell ref="C3:C4"/>
    <mergeCell ref="D3:F3"/>
    <mergeCell ref="H3:M3"/>
  </mergeCells>
  <phoneticPr fontId="4"/>
  <printOptions horizontalCentered="1"/>
  <pageMargins left="0.78740157480314965" right="0.78740157480314965" top="0.98425196850393704" bottom="0.98425196850393704" header="0.51181102362204722" footer="0.51181102362204722"/>
  <pageSetup paperSize="9" scale="91"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EC53-7822-4AE8-88D7-957C0F343DD2}">
  <sheetPr codeName="Sheet41">
    <pageSetUpPr fitToPage="1"/>
  </sheetPr>
  <dimension ref="A1:S23"/>
  <sheetViews>
    <sheetView showGridLines="0" zoomScaleNormal="100" workbookViewId="0"/>
  </sheetViews>
  <sheetFormatPr defaultColWidth="9" defaultRowHeight="13.2"/>
  <cols>
    <col min="1" max="1" width="8.3984375" style="2" customWidth="1"/>
    <col min="2" max="19" width="6.69921875" style="2" customWidth="1"/>
    <col min="20" max="16384" width="9" style="2"/>
  </cols>
  <sheetData>
    <row r="1" spans="1:19" ht="30" customHeight="1" thickBot="1">
      <c r="A1" s="342" t="s">
        <v>869</v>
      </c>
      <c r="B1" s="342"/>
      <c r="C1" s="342"/>
      <c r="D1" s="342"/>
      <c r="E1" s="342"/>
      <c r="M1" s="343" t="s">
        <v>836</v>
      </c>
    </row>
    <row r="2" spans="1:19" s="11" customFormat="1" ht="19.5" customHeight="1">
      <c r="A2" s="2532" t="s">
        <v>870</v>
      </c>
      <c r="B2" s="2527" t="s">
        <v>855</v>
      </c>
      <c r="C2" s="2527" t="s">
        <v>839</v>
      </c>
      <c r="D2" s="2533" t="s">
        <v>871</v>
      </c>
      <c r="E2" s="2534"/>
      <c r="F2" s="2534"/>
      <c r="G2" s="2535"/>
      <c r="H2" s="2533" t="s">
        <v>872</v>
      </c>
      <c r="I2" s="2535"/>
      <c r="J2" s="2533" t="s">
        <v>873</v>
      </c>
      <c r="K2" s="2534"/>
      <c r="L2" s="2535"/>
      <c r="M2" s="2208" t="s">
        <v>874</v>
      </c>
    </row>
    <row r="3" spans="1:19" s="11" customFormat="1" ht="53.25" customHeight="1">
      <c r="A3" s="2275"/>
      <c r="B3" s="2528"/>
      <c r="C3" s="2528"/>
      <c r="D3" s="256" t="s">
        <v>875</v>
      </c>
      <c r="E3" s="256" t="s">
        <v>876</v>
      </c>
      <c r="F3" s="256" t="s">
        <v>877</v>
      </c>
      <c r="G3" s="383" t="s">
        <v>878</v>
      </c>
      <c r="H3" s="256" t="s">
        <v>879</v>
      </c>
      <c r="I3" s="383" t="s">
        <v>880</v>
      </c>
      <c r="J3" s="256" t="s">
        <v>881</v>
      </c>
      <c r="K3" s="256" t="s">
        <v>882</v>
      </c>
      <c r="L3" s="247" t="s">
        <v>883</v>
      </c>
      <c r="M3" s="2536"/>
    </row>
    <row r="4" spans="1:19" s="11" customFormat="1" ht="19.5" customHeight="1">
      <c r="A4" s="218"/>
      <c r="B4" s="245" t="s">
        <v>867</v>
      </c>
      <c r="C4" s="245" t="s">
        <v>850</v>
      </c>
      <c r="D4" s="86" t="s">
        <v>167</v>
      </c>
      <c r="E4" s="86" t="s">
        <v>167</v>
      </c>
      <c r="F4" s="86" t="s">
        <v>167</v>
      </c>
      <c r="G4" s="35" t="s">
        <v>167</v>
      </c>
      <c r="H4" s="86" t="s">
        <v>167</v>
      </c>
      <c r="I4" s="35" t="s">
        <v>167</v>
      </c>
      <c r="J4" s="86" t="s">
        <v>167</v>
      </c>
      <c r="K4" s="86" t="s">
        <v>167</v>
      </c>
      <c r="L4" s="35" t="s">
        <v>167</v>
      </c>
      <c r="M4" s="38" t="s">
        <v>167</v>
      </c>
    </row>
    <row r="5" spans="1:19" s="11" customFormat="1" ht="19.5" customHeight="1">
      <c r="A5" s="595" t="s">
        <v>43</v>
      </c>
      <c r="B5" s="256">
        <v>3</v>
      </c>
      <c r="C5" s="256">
        <v>29</v>
      </c>
      <c r="D5" s="256">
        <v>583</v>
      </c>
      <c r="E5" s="256">
        <v>306</v>
      </c>
      <c r="F5" s="256">
        <v>277</v>
      </c>
      <c r="G5" s="113">
        <f>+D5/C5</f>
        <v>20.103448275862068</v>
      </c>
      <c r="H5" s="256">
        <v>58</v>
      </c>
      <c r="I5" s="615">
        <f>+D5/H5</f>
        <v>10.051724137931034</v>
      </c>
      <c r="J5" s="256">
        <v>197</v>
      </c>
      <c r="K5" s="256">
        <v>197</v>
      </c>
      <c r="L5" s="247">
        <v>189</v>
      </c>
      <c r="M5" s="253">
        <v>213</v>
      </c>
    </row>
    <row r="6" spans="1:19" s="11" customFormat="1" ht="19.5" customHeight="1">
      <c r="A6" s="595">
        <v>3</v>
      </c>
      <c r="B6" s="256">
        <v>3</v>
      </c>
      <c r="C6" s="256">
        <v>29</v>
      </c>
      <c r="D6" s="256">
        <v>579</v>
      </c>
      <c r="E6" s="256">
        <v>315</v>
      </c>
      <c r="F6" s="256">
        <v>264</v>
      </c>
      <c r="G6" s="113">
        <f t="shared" ref="G6:G8" si="0">+D6/C6</f>
        <v>19.96551724137931</v>
      </c>
      <c r="H6" s="256">
        <v>59</v>
      </c>
      <c r="I6" s="615">
        <f t="shared" ref="I6:I8" si="1">+D6/H6</f>
        <v>9.8135593220338979</v>
      </c>
      <c r="J6" s="256">
        <v>188</v>
      </c>
      <c r="K6" s="256">
        <v>197</v>
      </c>
      <c r="L6" s="247">
        <v>194</v>
      </c>
      <c r="M6" s="253">
        <v>189</v>
      </c>
    </row>
    <row r="7" spans="1:19" s="11" customFormat="1" ht="19.5" customHeight="1">
      <c r="A7" s="595">
        <v>4</v>
      </c>
      <c r="B7" s="256">
        <v>3</v>
      </c>
      <c r="C7" s="256">
        <v>25</v>
      </c>
      <c r="D7" s="256">
        <v>553</v>
      </c>
      <c r="E7" s="256">
        <v>296</v>
      </c>
      <c r="F7" s="256">
        <v>257</v>
      </c>
      <c r="G7" s="113">
        <f t="shared" si="0"/>
        <v>22.12</v>
      </c>
      <c r="H7" s="256">
        <v>58</v>
      </c>
      <c r="I7" s="615">
        <f t="shared" si="1"/>
        <v>9.5344827586206904</v>
      </c>
      <c r="J7" s="256">
        <v>163</v>
      </c>
      <c r="K7" s="256">
        <v>190</v>
      </c>
      <c r="L7" s="247">
        <v>200</v>
      </c>
      <c r="M7" s="253">
        <v>195</v>
      </c>
    </row>
    <row r="8" spans="1:19" s="11" customFormat="1" ht="19.5" customHeight="1">
      <c r="A8" s="595">
        <v>5</v>
      </c>
      <c r="B8" s="256">
        <v>1</v>
      </c>
      <c r="C8" s="256">
        <v>21</v>
      </c>
      <c r="D8" s="256">
        <v>500</v>
      </c>
      <c r="E8" s="256">
        <v>262</v>
      </c>
      <c r="F8" s="256">
        <v>238</v>
      </c>
      <c r="G8" s="113">
        <f t="shared" si="0"/>
        <v>23.80952380952381</v>
      </c>
      <c r="H8" s="256">
        <v>43</v>
      </c>
      <c r="I8" s="615">
        <f t="shared" si="1"/>
        <v>11.627906976744185</v>
      </c>
      <c r="J8" s="256">
        <v>159</v>
      </c>
      <c r="K8" s="256">
        <v>159</v>
      </c>
      <c r="L8" s="247">
        <v>182</v>
      </c>
      <c r="M8" s="253">
        <v>200</v>
      </c>
    </row>
    <row r="9" spans="1:19" s="11" customFormat="1" ht="19.5" customHeight="1">
      <c r="A9" s="595">
        <v>6</v>
      </c>
      <c r="B9" s="546">
        <v>1</v>
      </c>
      <c r="C9" s="546">
        <v>21</v>
      </c>
      <c r="D9" s="546">
        <v>476</v>
      </c>
      <c r="E9" s="546">
        <v>252</v>
      </c>
      <c r="F9" s="546">
        <v>224</v>
      </c>
      <c r="G9" s="113">
        <v>22.666666666666668</v>
      </c>
      <c r="H9" s="546">
        <v>42</v>
      </c>
      <c r="I9" s="615">
        <v>11.333333333333334</v>
      </c>
      <c r="J9" s="546">
        <v>159</v>
      </c>
      <c r="K9" s="546">
        <v>156</v>
      </c>
      <c r="L9" s="540">
        <v>161</v>
      </c>
      <c r="M9" s="545">
        <v>181</v>
      </c>
    </row>
    <row r="10" spans="1:19" s="11" customFormat="1" ht="19.5" customHeight="1" thickBot="1">
      <c r="A10" s="598"/>
      <c r="B10" s="535"/>
      <c r="C10" s="535"/>
      <c r="D10" s="535"/>
      <c r="E10" s="535"/>
      <c r="F10" s="535"/>
      <c r="G10" s="121"/>
      <c r="H10" s="535"/>
      <c r="I10" s="616"/>
      <c r="J10" s="535"/>
      <c r="K10" s="535"/>
      <c r="L10" s="220"/>
      <c r="M10" s="92"/>
    </row>
    <row r="11" spans="1:19" s="11" customFormat="1" ht="19.5" customHeight="1">
      <c r="A11" s="258" t="s">
        <v>884</v>
      </c>
      <c r="B11" s="258"/>
      <c r="C11" s="258"/>
      <c r="D11" s="258"/>
      <c r="E11" s="258"/>
      <c r="I11" s="258"/>
    </row>
    <row r="12" spans="1:19" ht="30" customHeight="1" thickBot="1">
      <c r="A12" s="342" t="s">
        <v>885</v>
      </c>
      <c r="B12" s="342"/>
      <c r="C12" s="342"/>
      <c r="D12" s="342"/>
      <c r="E12" s="342"/>
      <c r="S12" s="343" t="s">
        <v>836</v>
      </c>
    </row>
    <row r="13" spans="1:19" ht="19.5" customHeight="1">
      <c r="A13" s="2532" t="s">
        <v>870</v>
      </c>
      <c r="B13" s="2527" t="s">
        <v>855</v>
      </c>
      <c r="C13" s="2527" t="s">
        <v>839</v>
      </c>
      <c r="D13" s="2533" t="s">
        <v>871</v>
      </c>
      <c r="E13" s="2534"/>
      <c r="F13" s="2534"/>
      <c r="G13" s="2535"/>
      <c r="H13" s="2533" t="s">
        <v>872</v>
      </c>
      <c r="I13" s="2535"/>
      <c r="J13" s="2311" t="s">
        <v>873</v>
      </c>
      <c r="K13" s="2312"/>
      <c r="L13" s="2312"/>
      <c r="M13" s="2312"/>
      <c r="N13" s="2312"/>
      <c r="O13" s="2312"/>
      <c r="P13" s="2312"/>
      <c r="Q13" s="2312"/>
      <c r="R13" s="2537"/>
      <c r="S13" s="2208" t="s">
        <v>874</v>
      </c>
    </row>
    <row r="14" spans="1:19" ht="53.25" customHeight="1">
      <c r="A14" s="2275"/>
      <c r="B14" s="2528"/>
      <c r="C14" s="2528"/>
      <c r="D14" s="256" t="s">
        <v>875</v>
      </c>
      <c r="E14" s="256" t="s">
        <v>876</v>
      </c>
      <c r="F14" s="256" t="s">
        <v>877</v>
      </c>
      <c r="G14" s="383" t="s">
        <v>878</v>
      </c>
      <c r="H14" s="256" t="s">
        <v>879</v>
      </c>
      <c r="I14" s="383" t="s">
        <v>880</v>
      </c>
      <c r="J14" s="256" t="s">
        <v>881</v>
      </c>
      <c r="K14" s="256" t="s">
        <v>882</v>
      </c>
      <c r="L14" s="247" t="s">
        <v>863</v>
      </c>
      <c r="M14" s="256" t="s">
        <v>864</v>
      </c>
      <c r="N14" s="247" t="s">
        <v>865</v>
      </c>
      <c r="O14" s="256" t="s">
        <v>866</v>
      </c>
      <c r="P14" s="247" t="s">
        <v>886</v>
      </c>
      <c r="Q14" s="256" t="s">
        <v>887</v>
      </c>
      <c r="R14" s="247" t="s">
        <v>888</v>
      </c>
      <c r="S14" s="2536"/>
    </row>
    <row r="15" spans="1:19" ht="19.5" customHeight="1">
      <c r="A15" s="218"/>
      <c r="B15" s="245" t="s">
        <v>867</v>
      </c>
      <c r="C15" s="245" t="s">
        <v>850</v>
      </c>
      <c r="D15" s="86" t="s">
        <v>167</v>
      </c>
      <c r="E15" s="86" t="s">
        <v>167</v>
      </c>
      <c r="F15" s="86" t="s">
        <v>167</v>
      </c>
      <c r="G15" s="35" t="s">
        <v>167</v>
      </c>
      <c r="H15" s="86" t="s">
        <v>167</v>
      </c>
      <c r="I15" s="35" t="s">
        <v>167</v>
      </c>
      <c r="J15" s="86" t="s">
        <v>167</v>
      </c>
      <c r="K15" s="86" t="s">
        <v>167</v>
      </c>
      <c r="L15" s="35" t="s">
        <v>167</v>
      </c>
      <c r="M15" s="35"/>
      <c r="N15" s="35"/>
      <c r="O15" s="35"/>
      <c r="P15" s="35"/>
      <c r="Q15" s="35"/>
      <c r="R15" s="35"/>
      <c r="S15" s="38" t="s">
        <v>167</v>
      </c>
    </row>
    <row r="16" spans="1:19" ht="19.5" customHeight="1">
      <c r="A16" s="595" t="s">
        <v>43</v>
      </c>
      <c r="B16" s="256">
        <v>1</v>
      </c>
      <c r="C16" s="256">
        <v>13</v>
      </c>
      <c r="D16" s="256">
        <v>97</v>
      </c>
      <c r="E16" s="256">
        <v>55</v>
      </c>
      <c r="F16" s="256">
        <v>42</v>
      </c>
      <c r="G16" s="113">
        <f>+D16/C16</f>
        <v>7.4615384615384617</v>
      </c>
      <c r="H16" s="256">
        <v>23</v>
      </c>
      <c r="I16" s="615">
        <f>+D16/H16</f>
        <v>4.2173913043478262</v>
      </c>
      <c r="J16" s="256">
        <v>8</v>
      </c>
      <c r="K16" s="256">
        <v>6</v>
      </c>
      <c r="L16" s="247">
        <v>12</v>
      </c>
      <c r="M16" s="247">
        <v>2</v>
      </c>
      <c r="N16" s="247">
        <v>16</v>
      </c>
      <c r="O16" s="247">
        <v>12</v>
      </c>
      <c r="P16" s="247">
        <v>15</v>
      </c>
      <c r="Q16" s="247">
        <v>11</v>
      </c>
      <c r="R16" s="247">
        <v>15</v>
      </c>
      <c r="S16" s="253">
        <v>11</v>
      </c>
    </row>
    <row r="17" spans="1:19" ht="19.5" customHeight="1">
      <c r="A17" s="595">
        <v>3</v>
      </c>
      <c r="B17" s="256">
        <v>1</v>
      </c>
      <c r="C17" s="256">
        <v>13</v>
      </c>
      <c r="D17" s="256">
        <v>94</v>
      </c>
      <c r="E17" s="256">
        <v>55</v>
      </c>
      <c r="F17" s="256">
        <v>39</v>
      </c>
      <c r="G17" s="113">
        <f t="shared" ref="G17:G19" si="2">+D17/C17</f>
        <v>7.2307692307692308</v>
      </c>
      <c r="H17" s="256">
        <v>23</v>
      </c>
      <c r="I17" s="615">
        <f t="shared" ref="I17:I19" si="3">+D17/H17</f>
        <v>4.0869565217391308</v>
      </c>
      <c r="J17" s="256">
        <v>12</v>
      </c>
      <c r="K17" s="256">
        <v>7</v>
      </c>
      <c r="L17" s="247">
        <v>9</v>
      </c>
      <c r="M17" s="247">
        <v>12</v>
      </c>
      <c r="N17" s="247">
        <v>4</v>
      </c>
      <c r="O17" s="247">
        <v>16</v>
      </c>
      <c r="P17" s="247">
        <v>10</v>
      </c>
      <c r="Q17" s="247">
        <v>13</v>
      </c>
      <c r="R17" s="247">
        <v>11</v>
      </c>
      <c r="S17" s="253">
        <v>15</v>
      </c>
    </row>
    <row r="18" spans="1:19" ht="19.5" customHeight="1">
      <c r="A18" s="595">
        <v>4</v>
      </c>
      <c r="B18" s="256">
        <v>1</v>
      </c>
      <c r="C18" s="256">
        <v>13</v>
      </c>
      <c r="D18" s="256">
        <v>98</v>
      </c>
      <c r="E18" s="256">
        <v>56</v>
      </c>
      <c r="F18" s="256">
        <v>42</v>
      </c>
      <c r="G18" s="113">
        <f t="shared" si="2"/>
        <v>7.5384615384615383</v>
      </c>
      <c r="H18" s="256">
        <v>23</v>
      </c>
      <c r="I18" s="615">
        <f t="shared" si="3"/>
        <v>4.2608695652173916</v>
      </c>
      <c r="J18" s="256">
        <v>11</v>
      </c>
      <c r="K18" s="256">
        <v>11</v>
      </c>
      <c r="L18" s="247">
        <v>8</v>
      </c>
      <c r="M18" s="247">
        <v>11</v>
      </c>
      <c r="N18" s="247">
        <v>12</v>
      </c>
      <c r="O18" s="247">
        <v>5</v>
      </c>
      <c r="P18" s="247">
        <v>18</v>
      </c>
      <c r="Q18" s="247">
        <v>11</v>
      </c>
      <c r="R18" s="247">
        <v>11</v>
      </c>
      <c r="S18" s="253">
        <v>11</v>
      </c>
    </row>
    <row r="19" spans="1:19" ht="19.5" customHeight="1">
      <c r="A19" s="595">
        <v>5</v>
      </c>
      <c r="B19" s="256">
        <v>2</v>
      </c>
      <c r="C19" s="256">
        <v>23</v>
      </c>
      <c r="D19" s="256">
        <v>165</v>
      </c>
      <c r="E19" s="256">
        <v>89</v>
      </c>
      <c r="F19" s="256">
        <v>76</v>
      </c>
      <c r="G19" s="113">
        <f t="shared" si="2"/>
        <v>7.1739130434782608</v>
      </c>
      <c r="H19" s="256">
        <v>49</v>
      </c>
      <c r="I19" s="615">
        <f t="shared" si="3"/>
        <v>3.3673469387755102</v>
      </c>
      <c r="J19" s="256">
        <v>15</v>
      </c>
      <c r="K19" s="256">
        <v>15</v>
      </c>
      <c r="L19" s="247">
        <v>23</v>
      </c>
      <c r="M19" s="247">
        <v>17</v>
      </c>
      <c r="N19" s="247">
        <v>22</v>
      </c>
      <c r="O19" s="247">
        <v>24</v>
      </c>
      <c r="P19" s="247">
        <v>11</v>
      </c>
      <c r="Q19" s="247">
        <v>20</v>
      </c>
      <c r="R19" s="247">
        <v>18</v>
      </c>
      <c r="S19" s="253">
        <v>11</v>
      </c>
    </row>
    <row r="20" spans="1:19" ht="19.5" customHeight="1">
      <c r="A20" s="595">
        <v>6</v>
      </c>
      <c r="B20" s="546">
        <v>2</v>
      </c>
      <c r="C20" s="546">
        <v>24</v>
      </c>
      <c r="D20" s="546">
        <v>164</v>
      </c>
      <c r="E20" s="546">
        <v>89</v>
      </c>
      <c r="F20" s="546">
        <v>75</v>
      </c>
      <c r="G20" s="113">
        <v>6.833333333333333</v>
      </c>
      <c r="H20" s="546">
        <v>42</v>
      </c>
      <c r="I20" s="615">
        <v>3.9047619047619047</v>
      </c>
      <c r="J20" s="546">
        <v>13</v>
      </c>
      <c r="K20" s="546">
        <v>17</v>
      </c>
      <c r="L20" s="540">
        <v>17</v>
      </c>
      <c r="M20" s="540">
        <v>21</v>
      </c>
      <c r="N20" s="540">
        <v>21</v>
      </c>
      <c r="O20" s="540">
        <v>24</v>
      </c>
      <c r="P20" s="540">
        <v>21</v>
      </c>
      <c r="Q20" s="540">
        <v>12</v>
      </c>
      <c r="R20" s="540">
        <v>18</v>
      </c>
      <c r="S20" s="545">
        <v>17</v>
      </c>
    </row>
    <row r="21" spans="1:19" ht="19.5" customHeight="1" thickBot="1">
      <c r="A21" s="598"/>
      <c r="B21" s="535"/>
      <c r="C21" s="535"/>
      <c r="D21" s="535"/>
      <c r="E21" s="535"/>
      <c r="F21" s="535"/>
      <c r="G21" s="121"/>
      <c r="H21" s="535"/>
      <c r="I21" s="616"/>
      <c r="J21" s="535"/>
      <c r="K21" s="535"/>
      <c r="L21" s="220"/>
      <c r="M21" s="220"/>
      <c r="N21" s="220"/>
      <c r="O21" s="220"/>
      <c r="P21" s="220"/>
      <c r="Q21" s="220"/>
      <c r="R21" s="220"/>
      <c r="S21" s="92"/>
    </row>
    <row r="22" spans="1:19" ht="19.5" customHeight="1">
      <c r="A22" s="258" t="s">
        <v>884</v>
      </c>
      <c r="B22" s="258"/>
      <c r="C22" s="258"/>
      <c r="D22" s="258"/>
      <c r="E22" s="258"/>
      <c r="F22" s="11"/>
      <c r="G22" s="11"/>
      <c r="H22" s="11"/>
      <c r="I22" s="258"/>
      <c r="J22" s="11"/>
      <c r="K22" s="11"/>
      <c r="L22" s="11"/>
      <c r="M22" s="11"/>
    </row>
    <row r="23" spans="1:19" ht="19.5" customHeight="1">
      <c r="A23" s="11"/>
    </row>
  </sheetData>
  <mergeCells count="14">
    <mergeCell ref="S13:S14"/>
    <mergeCell ref="M2:M3"/>
    <mergeCell ref="A13:A14"/>
    <mergeCell ref="B13:B14"/>
    <mergeCell ref="C13:C14"/>
    <mergeCell ref="D13:G13"/>
    <mergeCell ref="H13:I13"/>
    <mergeCell ref="J13:R13"/>
    <mergeCell ref="A2:A3"/>
    <mergeCell ref="B2:B3"/>
    <mergeCell ref="C2:C3"/>
    <mergeCell ref="D2:G2"/>
    <mergeCell ref="H2:I2"/>
    <mergeCell ref="J2:L2"/>
  </mergeCells>
  <phoneticPr fontId="4"/>
  <printOptions horizontalCentered="1"/>
  <pageMargins left="0.78740157480314965" right="0.78740157480314965" top="0.98425196850393704" bottom="0.98425196850393704" header="0.51181102362204722" footer="0.51181102362204722"/>
  <pageSetup paperSize="9" scale="85"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59B06-827F-4970-B243-736394A9B257}">
  <sheetPr codeName="Sheet42">
    <pageSetUpPr fitToPage="1"/>
  </sheetPr>
  <dimension ref="A1:U70"/>
  <sheetViews>
    <sheetView zoomScaleNormal="100" workbookViewId="0">
      <pane xSplit="1" ySplit="4" topLeftCell="B5" activePane="bottomRight" state="frozen"/>
      <selection pane="topRight" activeCell="B1" sqref="B1"/>
      <selection pane="bottomLeft" activeCell="A11" sqref="A11"/>
      <selection pane="bottomRight" activeCell="D62" sqref="D62"/>
    </sheetView>
  </sheetViews>
  <sheetFormatPr defaultColWidth="9" defaultRowHeight="16.5" customHeight="1"/>
  <cols>
    <col min="1" max="1" width="9.3984375" style="1580" customWidth="1"/>
    <col min="2" max="21" width="5" style="1580" customWidth="1"/>
    <col min="22" max="16384" width="9" style="1580"/>
  </cols>
  <sheetData>
    <row r="1" spans="1:21" ht="30" customHeight="1" thickBot="1">
      <c r="A1" s="453" t="s">
        <v>889</v>
      </c>
      <c r="U1" s="1560" t="s">
        <v>890</v>
      </c>
    </row>
    <row r="2" spans="1:21" ht="51.75" customHeight="1">
      <c r="A2" s="2540" t="s">
        <v>891</v>
      </c>
      <c r="B2" s="2542" t="s">
        <v>892</v>
      </c>
      <c r="C2" s="2544" t="s">
        <v>893</v>
      </c>
      <c r="D2" s="2545"/>
      <c r="E2" s="2545"/>
      <c r="F2" s="2545"/>
      <c r="G2" s="2545"/>
      <c r="H2" s="2546"/>
      <c r="I2" s="2547" t="s">
        <v>894</v>
      </c>
      <c r="J2" s="2549" t="s">
        <v>895</v>
      </c>
      <c r="K2" s="2542" t="s">
        <v>896</v>
      </c>
      <c r="L2" s="2542" t="s">
        <v>897</v>
      </c>
      <c r="M2" s="2547" t="s">
        <v>898</v>
      </c>
      <c r="N2" s="2550" t="s">
        <v>899</v>
      </c>
      <c r="O2" s="2551"/>
      <c r="P2" s="2552" t="s">
        <v>900</v>
      </c>
      <c r="Q2" s="2553"/>
      <c r="R2" s="2553"/>
      <c r="S2" s="2554"/>
      <c r="T2" s="2542" t="s">
        <v>901</v>
      </c>
      <c r="U2" s="2538" t="s">
        <v>902</v>
      </c>
    </row>
    <row r="3" spans="1:21" ht="80.25" customHeight="1">
      <c r="A3" s="2541"/>
      <c r="B3" s="2543"/>
      <c r="C3" s="1561" t="s">
        <v>903</v>
      </c>
      <c r="D3" s="1561" t="s">
        <v>904</v>
      </c>
      <c r="E3" s="1561" t="s">
        <v>905</v>
      </c>
      <c r="F3" s="1561" t="s">
        <v>906</v>
      </c>
      <c r="G3" s="1561" t="s">
        <v>907</v>
      </c>
      <c r="H3" s="1562" t="s">
        <v>908</v>
      </c>
      <c r="I3" s="2548"/>
      <c r="J3" s="2543"/>
      <c r="K3" s="2543"/>
      <c r="L3" s="2543"/>
      <c r="M3" s="2548"/>
      <c r="N3" s="1563" t="s">
        <v>909</v>
      </c>
      <c r="O3" s="1563" t="s">
        <v>910</v>
      </c>
      <c r="P3" s="1561" t="s">
        <v>911</v>
      </c>
      <c r="Q3" s="1561" t="s">
        <v>907</v>
      </c>
      <c r="R3" s="1564" t="s">
        <v>912</v>
      </c>
      <c r="S3" s="1562" t="s">
        <v>913</v>
      </c>
      <c r="T3" s="2543"/>
      <c r="U3" s="2539"/>
    </row>
    <row r="4" spans="1:21" ht="17.25" customHeight="1">
      <c r="A4" s="1565"/>
      <c r="B4" s="1165" t="s">
        <v>914</v>
      </c>
      <c r="C4" s="1165" t="s">
        <v>914</v>
      </c>
      <c r="D4" s="1165" t="s">
        <v>914</v>
      </c>
      <c r="E4" s="1165" t="s">
        <v>914</v>
      </c>
      <c r="F4" s="1165" t="s">
        <v>914</v>
      </c>
      <c r="G4" s="1165" t="s">
        <v>914</v>
      </c>
      <c r="H4" s="1165" t="s">
        <v>914</v>
      </c>
      <c r="I4" s="1165" t="s">
        <v>914</v>
      </c>
      <c r="J4" s="1165" t="s">
        <v>914</v>
      </c>
      <c r="K4" s="1165" t="s">
        <v>914</v>
      </c>
      <c r="L4" s="1165" t="s">
        <v>914</v>
      </c>
      <c r="M4" s="1165" t="s">
        <v>914</v>
      </c>
      <c r="N4" s="1165" t="s">
        <v>914</v>
      </c>
      <c r="O4" s="1165" t="s">
        <v>914</v>
      </c>
      <c r="P4" s="1165" t="s">
        <v>914</v>
      </c>
      <c r="Q4" s="1165" t="s">
        <v>914</v>
      </c>
      <c r="R4" s="1165" t="s">
        <v>914</v>
      </c>
      <c r="S4" s="1165" t="s">
        <v>914</v>
      </c>
      <c r="T4" s="1165" t="s">
        <v>915</v>
      </c>
      <c r="U4" s="1146" t="s">
        <v>915</v>
      </c>
    </row>
    <row r="5" spans="1:21" s="171" customFormat="1" ht="17.25" customHeight="1">
      <c r="A5" s="1121" t="s">
        <v>916</v>
      </c>
      <c r="B5" s="477">
        <v>335</v>
      </c>
      <c r="C5" s="477">
        <v>325</v>
      </c>
      <c r="D5" s="1566">
        <v>311</v>
      </c>
      <c r="E5" s="477">
        <v>1</v>
      </c>
      <c r="F5" s="1168">
        <v>6</v>
      </c>
      <c r="G5" s="1175">
        <v>3</v>
      </c>
      <c r="H5" s="1567">
        <v>4</v>
      </c>
      <c r="I5" s="1168">
        <v>2</v>
      </c>
      <c r="J5" s="1568">
        <v>1</v>
      </c>
      <c r="K5" s="477">
        <v>7</v>
      </c>
      <c r="L5" s="1168" t="s">
        <v>384</v>
      </c>
      <c r="M5" s="1175">
        <v>12</v>
      </c>
      <c r="N5" s="1168" t="s">
        <v>384</v>
      </c>
      <c r="O5" s="1168">
        <v>1</v>
      </c>
      <c r="P5" s="477">
        <v>300</v>
      </c>
      <c r="Q5" s="477">
        <v>3</v>
      </c>
      <c r="R5" s="1566"/>
      <c r="S5" s="1566">
        <v>4</v>
      </c>
      <c r="T5" s="1169">
        <f t="shared" ref="T5:T7" si="0">C5/B5*100</f>
        <v>97.014925373134332</v>
      </c>
      <c r="U5" s="1569">
        <f>J5/B5*100</f>
        <v>0.29850746268656719</v>
      </c>
    </row>
    <row r="6" spans="1:21" s="171" customFormat="1" ht="17.25" customHeight="1">
      <c r="A6" s="1121" t="s">
        <v>164</v>
      </c>
      <c r="B6" s="477">
        <v>174</v>
      </c>
      <c r="C6" s="477">
        <v>167</v>
      </c>
      <c r="D6" s="1566">
        <v>159</v>
      </c>
      <c r="E6" s="477">
        <v>0</v>
      </c>
      <c r="F6" s="1168">
        <v>3</v>
      </c>
      <c r="G6" s="1175">
        <v>3</v>
      </c>
      <c r="H6" s="1567">
        <v>2</v>
      </c>
      <c r="I6" s="1168">
        <v>2</v>
      </c>
      <c r="J6" s="1168" t="s">
        <v>384</v>
      </c>
      <c r="K6" s="477">
        <v>3</v>
      </c>
      <c r="L6" s="1168" t="s">
        <v>384</v>
      </c>
      <c r="M6" s="1175">
        <v>9</v>
      </c>
      <c r="N6" s="1168" t="s">
        <v>384</v>
      </c>
      <c r="O6" s="1168">
        <v>1</v>
      </c>
      <c r="P6" s="477">
        <v>159</v>
      </c>
      <c r="Q6" s="477">
        <v>3</v>
      </c>
      <c r="R6" s="1566"/>
      <c r="S6" s="1566">
        <v>2</v>
      </c>
      <c r="T6" s="1169">
        <f t="shared" si="0"/>
        <v>95.977011494252878</v>
      </c>
      <c r="U6" s="1568" t="s">
        <v>384</v>
      </c>
    </row>
    <row r="7" spans="1:21" s="171" customFormat="1" ht="17.25" customHeight="1">
      <c r="A7" s="1119" t="s">
        <v>165</v>
      </c>
      <c r="B7" s="1570">
        <v>161</v>
      </c>
      <c r="C7" s="1570">
        <v>158</v>
      </c>
      <c r="D7" s="1571">
        <v>152</v>
      </c>
      <c r="E7" s="1570">
        <v>1</v>
      </c>
      <c r="F7" s="1572">
        <v>3</v>
      </c>
      <c r="G7" s="1572" t="s">
        <v>384</v>
      </c>
      <c r="H7" s="1572">
        <v>2</v>
      </c>
      <c r="I7" s="1572" t="s">
        <v>384</v>
      </c>
      <c r="J7" s="1573">
        <v>1</v>
      </c>
      <c r="K7" s="1572">
        <v>4</v>
      </c>
      <c r="L7" s="1572" t="s">
        <v>384</v>
      </c>
      <c r="M7" s="1574">
        <v>3</v>
      </c>
      <c r="N7" s="1572" t="s">
        <v>384</v>
      </c>
      <c r="O7" s="1572" t="s">
        <v>384</v>
      </c>
      <c r="P7" s="1570">
        <v>141</v>
      </c>
      <c r="Q7" s="1572" t="s">
        <v>384</v>
      </c>
      <c r="R7" s="1572"/>
      <c r="S7" s="1572">
        <v>2</v>
      </c>
      <c r="T7" s="1575">
        <f t="shared" si="0"/>
        <v>98.136645962732914</v>
      </c>
      <c r="U7" s="1576">
        <f>J7/B7*100</f>
        <v>0.6211180124223602</v>
      </c>
    </row>
    <row r="8" spans="1:21" ht="17.25" customHeight="1">
      <c r="A8" s="1121" t="s">
        <v>917</v>
      </c>
      <c r="B8" s="477">
        <v>318</v>
      </c>
      <c r="C8" s="477">
        <v>314</v>
      </c>
      <c r="D8" s="477">
        <v>301</v>
      </c>
      <c r="E8" s="477">
        <v>5</v>
      </c>
      <c r="F8" s="477">
        <v>1</v>
      </c>
      <c r="G8" s="477">
        <v>2</v>
      </c>
      <c r="H8" s="1168">
        <v>4</v>
      </c>
      <c r="I8" s="1168" t="s">
        <v>431</v>
      </c>
      <c r="J8" s="477">
        <v>3</v>
      </c>
      <c r="K8" s="477">
        <v>1</v>
      </c>
      <c r="L8" s="1168" t="s">
        <v>431</v>
      </c>
      <c r="M8" s="477">
        <v>7</v>
      </c>
      <c r="N8" s="1168">
        <v>1</v>
      </c>
      <c r="O8" s="1168" t="s">
        <v>431</v>
      </c>
      <c r="P8" s="477">
        <v>300</v>
      </c>
      <c r="Q8" s="477">
        <v>2</v>
      </c>
      <c r="R8" s="1168" t="s">
        <v>431</v>
      </c>
      <c r="S8" s="1168">
        <v>4</v>
      </c>
      <c r="T8" s="1577">
        <v>98.742138364779876</v>
      </c>
      <c r="U8" s="1205">
        <v>0.94339622641509435</v>
      </c>
    </row>
    <row r="9" spans="1:21" ht="17.25" customHeight="1">
      <c r="A9" s="1121" t="s">
        <v>164</v>
      </c>
      <c r="B9" s="477">
        <v>160</v>
      </c>
      <c r="C9" s="477">
        <v>156</v>
      </c>
      <c r="D9" s="477">
        <v>150</v>
      </c>
      <c r="E9" s="477">
        <v>2</v>
      </c>
      <c r="F9" s="1168" t="s">
        <v>431</v>
      </c>
      <c r="G9" s="477">
        <v>2</v>
      </c>
      <c r="H9" s="1168">
        <v>2</v>
      </c>
      <c r="I9" s="1168" t="s">
        <v>431</v>
      </c>
      <c r="J9" s="477">
        <v>3</v>
      </c>
      <c r="K9" s="477">
        <v>1</v>
      </c>
      <c r="L9" s="1168" t="s">
        <v>431</v>
      </c>
      <c r="M9" s="477">
        <v>6</v>
      </c>
      <c r="N9" s="1168">
        <v>1</v>
      </c>
      <c r="O9" s="1168" t="s">
        <v>431</v>
      </c>
      <c r="P9" s="477">
        <v>150</v>
      </c>
      <c r="Q9" s="1168">
        <v>2</v>
      </c>
      <c r="R9" s="1168" t="s">
        <v>431</v>
      </c>
      <c r="S9" s="1168">
        <v>2</v>
      </c>
      <c r="T9" s="1577">
        <v>97.5</v>
      </c>
      <c r="U9" s="1205">
        <v>1.875</v>
      </c>
    </row>
    <row r="10" spans="1:21" ht="17.25" customHeight="1">
      <c r="A10" s="1119" t="s">
        <v>165</v>
      </c>
      <c r="B10" s="1570">
        <v>158</v>
      </c>
      <c r="C10" s="1570">
        <v>158</v>
      </c>
      <c r="D10" s="1570">
        <v>151</v>
      </c>
      <c r="E10" s="1570">
        <v>3</v>
      </c>
      <c r="F10" s="1570">
        <v>1</v>
      </c>
      <c r="G10" s="1572" t="s">
        <v>431</v>
      </c>
      <c r="H10" s="1572">
        <v>2</v>
      </c>
      <c r="I10" s="1572" t="s">
        <v>431</v>
      </c>
      <c r="J10" s="1572" t="s">
        <v>431</v>
      </c>
      <c r="K10" s="1572" t="s">
        <v>431</v>
      </c>
      <c r="L10" s="1572" t="s">
        <v>431</v>
      </c>
      <c r="M10" s="1570">
        <v>1</v>
      </c>
      <c r="N10" s="1572" t="s">
        <v>431</v>
      </c>
      <c r="O10" s="1572" t="s">
        <v>431</v>
      </c>
      <c r="P10" s="1570">
        <v>150</v>
      </c>
      <c r="Q10" s="1572" t="s">
        <v>431</v>
      </c>
      <c r="R10" s="1572" t="s">
        <v>431</v>
      </c>
      <c r="S10" s="1572">
        <v>2</v>
      </c>
      <c r="T10" s="1578">
        <v>100</v>
      </c>
      <c r="U10" s="1576" t="s">
        <v>431</v>
      </c>
    </row>
    <row r="11" spans="1:21" ht="17.25" customHeight="1">
      <c r="A11" s="1121" t="s">
        <v>918</v>
      </c>
      <c r="B11" s="477">
        <v>297</v>
      </c>
      <c r="C11" s="477">
        <v>294</v>
      </c>
      <c r="D11" s="477">
        <v>283</v>
      </c>
      <c r="E11" s="477">
        <v>4</v>
      </c>
      <c r="F11" s="477">
        <v>3</v>
      </c>
      <c r="G11" s="477">
        <v>3</v>
      </c>
      <c r="H11" s="1168">
        <v>1</v>
      </c>
      <c r="I11" s="1168" t="s">
        <v>431</v>
      </c>
      <c r="J11" s="1168" t="s">
        <v>431</v>
      </c>
      <c r="K11" s="477">
        <v>3</v>
      </c>
      <c r="L11" s="1168" t="s">
        <v>431</v>
      </c>
      <c r="M11" s="477">
        <v>6</v>
      </c>
      <c r="N11" s="1168" t="s">
        <v>431</v>
      </c>
      <c r="O11" s="1168" t="s">
        <v>431</v>
      </c>
      <c r="P11" s="477">
        <v>287</v>
      </c>
      <c r="Q11" s="477">
        <v>3</v>
      </c>
      <c r="R11" s="1170" t="s">
        <v>431</v>
      </c>
      <c r="S11" s="1168">
        <v>1</v>
      </c>
      <c r="T11" s="1577">
        <v>98.98989898989899</v>
      </c>
      <c r="U11" s="1170" t="s">
        <v>431</v>
      </c>
    </row>
    <row r="12" spans="1:21" ht="17.25" customHeight="1">
      <c r="A12" s="1121" t="s">
        <v>164</v>
      </c>
      <c r="B12" s="477">
        <v>135</v>
      </c>
      <c r="C12" s="477">
        <v>135</v>
      </c>
      <c r="D12" s="477">
        <v>128</v>
      </c>
      <c r="E12" s="477">
        <v>3</v>
      </c>
      <c r="F12" s="477">
        <v>1</v>
      </c>
      <c r="G12" s="477">
        <v>3</v>
      </c>
      <c r="H12" s="1168" t="s">
        <v>431</v>
      </c>
      <c r="I12" s="1168" t="s">
        <v>431</v>
      </c>
      <c r="J12" s="1168" t="s">
        <v>431</v>
      </c>
      <c r="K12" s="1168" t="s">
        <v>431</v>
      </c>
      <c r="L12" s="1168" t="s">
        <v>431</v>
      </c>
      <c r="M12" s="477">
        <v>3</v>
      </c>
      <c r="N12" s="1168" t="s">
        <v>431</v>
      </c>
      <c r="O12" s="1168" t="s">
        <v>431</v>
      </c>
      <c r="P12" s="477">
        <v>131</v>
      </c>
      <c r="Q12" s="1168">
        <v>3</v>
      </c>
      <c r="R12" s="1170" t="s">
        <v>431</v>
      </c>
      <c r="S12" s="1170" t="s">
        <v>431</v>
      </c>
      <c r="T12" s="1577">
        <v>100</v>
      </c>
      <c r="U12" s="1170" t="s">
        <v>431</v>
      </c>
    </row>
    <row r="13" spans="1:21" ht="17.25" customHeight="1">
      <c r="A13" s="1119" t="s">
        <v>165</v>
      </c>
      <c r="B13" s="1570">
        <v>162</v>
      </c>
      <c r="C13" s="1570">
        <v>159</v>
      </c>
      <c r="D13" s="1570">
        <v>155</v>
      </c>
      <c r="E13" s="1570">
        <v>1</v>
      </c>
      <c r="F13" s="1570">
        <v>2</v>
      </c>
      <c r="G13" s="1572" t="s">
        <v>431</v>
      </c>
      <c r="H13" s="1572">
        <v>1</v>
      </c>
      <c r="I13" s="1572" t="s">
        <v>431</v>
      </c>
      <c r="J13" s="1572" t="s">
        <v>431</v>
      </c>
      <c r="K13" s="1570">
        <v>3</v>
      </c>
      <c r="L13" s="1572" t="s">
        <v>431</v>
      </c>
      <c r="M13" s="1570">
        <v>3</v>
      </c>
      <c r="N13" s="1572" t="s">
        <v>431</v>
      </c>
      <c r="O13" s="1572" t="s">
        <v>431</v>
      </c>
      <c r="P13" s="1570">
        <v>156</v>
      </c>
      <c r="Q13" s="1572" t="s">
        <v>431</v>
      </c>
      <c r="R13" s="1572" t="s">
        <v>431</v>
      </c>
      <c r="S13" s="1572">
        <v>1</v>
      </c>
      <c r="T13" s="1578">
        <v>98.148148148148152</v>
      </c>
      <c r="U13" s="1573" t="s">
        <v>431</v>
      </c>
    </row>
    <row r="14" spans="1:21" ht="17.25" customHeight="1">
      <c r="A14" s="1121" t="s">
        <v>919</v>
      </c>
      <c r="B14" s="477">
        <v>315</v>
      </c>
      <c r="C14" s="477">
        <v>308</v>
      </c>
      <c r="D14" s="477">
        <v>292</v>
      </c>
      <c r="E14" s="477">
        <v>10</v>
      </c>
      <c r="F14" s="477">
        <v>4</v>
      </c>
      <c r="G14" s="477">
        <v>2</v>
      </c>
      <c r="H14" s="1168" t="s">
        <v>431</v>
      </c>
      <c r="I14" s="1168" t="s">
        <v>431</v>
      </c>
      <c r="J14" s="477">
        <v>4</v>
      </c>
      <c r="K14" s="477">
        <v>3</v>
      </c>
      <c r="L14" s="1168" t="s">
        <v>431</v>
      </c>
      <c r="M14" s="477">
        <v>8</v>
      </c>
      <c r="N14" s="1168" t="s">
        <v>431</v>
      </c>
      <c r="O14" s="1168" t="s">
        <v>431</v>
      </c>
      <c r="P14" s="477">
        <v>305</v>
      </c>
      <c r="Q14" s="477">
        <v>2</v>
      </c>
      <c r="R14" s="477">
        <v>1</v>
      </c>
      <c r="S14" s="1168" t="s">
        <v>431</v>
      </c>
      <c r="T14" s="1577">
        <v>97.777777777777771</v>
      </c>
      <c r="U14" s="1205">
        <v>1.2698412698412698</v>
      </c>
    </row>
    <row r="15" spans="1:21" ht="17.25" customHeight="1">
      <c r="A15" s="1121" t="s">
        <v>920</v>
      </c>
      <c r="B15" s="477">
        <v>174</v>
      </c>
      <c r="C15" s="477">
        <v>171</v>
      </c>
      <c r="D15" s="477">
        <v>163</v>
      </c>
      <c r="E15" s="477">
        <v>3</v>
      </c>
      <c r="F15" s="477">
        <v>3</v>
      </c>
      <c r="G15" s="477">
        <v>2</v>
      </c>
      <c r="H15" s="1168" t="s">
        <v>431</v>
      </c>
      <c r="I15" s="1168" t="s">
        <v>431</v>
      </c>
      <c r="J15" s="477">
        <v>2</v>
      </c>
      <c r="K15" s="477">
        <v>1</v>
      </c>
      <c r="L15" s="1168" t="s">
        <v>431</v>
      </c>
      <c r="M15" s="477">
        <v>5</v>
      </c>
      <c r="N15" s="1168" t="s">
        <v>431</v>
      </c>
      <c r="O15" s="1168" t="s">
        <v>431</v>
      </c>
      <c r="P15" s="477">
        <v>168</v>
      </c>
      <c r="Q15" s="1168" t="s">
        <v>431</v>
      </c>
      <c r="R15" s="1168" t="s">
        <v>431</v>
      </c>
      <c r="S15" s="1168" t="s">
        <v>431</v>
      </c>
      <c r="T15" s="1577">
        <v>98.275862068965509</v>
      </c>
      <c r="U15" s="1205">
        <v>1.1494252873563218</v>
      </c>
    </row>
    <row r="16" spans="1:21" ht="17.25" customHeight="1">
      <c r="A16" s="1119" t="s">
        <v>921</v>
      </c>
      <c r="B16" s="1570">
        <v>141</v>
      </c>
      <c r="C16" s="1570">
        <v>137</v>
      </c>
      <c r="D16" s="1570">
        <v>129</v>
      </c>
      <c r="E16" s="1570">
        <v>7</v>
      </c>
      <c r="F16" s="1570">
        <v>1</v>
      </c>
      <c r="G16" s="1572" t="s">
        <v>431</v>
      </c>
      <c r="H16" s="1572" t="s">
        <v>431</v>
      </c>
      <c r="I16" s="1572" t="s">
        <v>431</v>
      </c>
      <c r="J16" s="1570">
        <v>2</v>
      </c>
      <c r="K16" s="1570">
        <v>2</v>
      </c>
      <c r="L16" s="1572" t="s">
        <v>431</v>
      </c>
      <c r="M16" s="1570">
        <v>3</v>
      </c>
      <c r="N16" s="1572" t="s">
        <v>431</v>
      </c>
      <c r="O16" s="1572" t="s">
        <v>431</v>
      </c>
      <c r="P16" s="1570">
        <v>137</v>
      </c>
      <c r="Q16" s="1570">
        <v>2</v>
      </c>
      <c r="R16" s="1570">
        <v>1</v>
      </c>
      <c r="S16" s="1572" t="s">
        <v>431</v>
      </c>
      <c r="T16" s="1578">
        <v>97.163120567375884</v>
      </c>
      <c r="U16" s="1579">
        <v>1.4184397163120568</v>
      </c>
    </row>
    <row r="17" spans="1:21" ht="17.25" customHeight="1">
      <c r="A17" s="1121" t="s">
        <v>922</v>
      </c>
      <c r="B17" s="477">
        <v>326</v>
      </c>
      <c r="C17" s="477">
        <v>324</v>
      </c>
      <c r="D17" s="477">
        <v>307</v>
      </c>
      <c r="E17" s="477">
        <v>11</v>
      </c>
      <c r="F17" s="477">
        <v>2</v>
      </c>
      <c r="G17" s="477">
        <v>3</v>
      </c>
      <c r="H17" s="1168">
        <v>1</v>
      </c>
      <c r="I17" s="1168" t="s">
        <v>431</v>
      </c>
      <c r="J17" s="477">
        <v>1</v>
      </c>
      <c r="K17" s="477">
        <v>1</v>
      </c>
      <c r="L17" s="1168" t="s">
        <v>431</v>
      </c>
      <c r="M17" s="477">
        <v>8</v>
      </c>
      <c r="N17" s="1168" t="s">
        <v>431</v>
      </c>
      <c r="O17" s="1168" t="s">
        <v>431</v>
      </c>
      <c r="P17" s="477">
        <v>318</v>
      </c>
      <c r="Q17" s="477">
        <v>3</v>
      </c>
      <c r="R17" s="1168" t="s">
        <v>431</v>
      </c>
      <c r="S17" s="1168">
        <v>1</v>
      </c>
      <c r="T17" s="1577">
        <v>99.386503067484668</v>
      </c>
      <c r="U17" s="1205">
        <v>0.30674846625766872</v>
      </c>
    </row>
    <row r="18" spans="1:21" ht="17.25" customHeight="1">
      <c r="A18" s="1121" t="s">
        <v>920</v>
      </c>
      <c r="B18" s="477">
        <v>157</v>
      </c>
      <c r="C18" s="477">
        <v>155</v>
      </c>
      <c r="D18" s="477">
        <v>147</v>
      </c>
      <c r="E18" s="477">
        <v>4</v>
      </c>
      <c r="F18" s="477">
        <v>1</v>
      </c>
      <c r="G18" s="477">
        <v>2</v>
      </c>
      <c r="H18" s="1168">
        <v>1</v>
      </c>
      <c r="I18" s="1168" t="s">
        <v>431</v>
      </c>
      <c r="J18" s="477">
        <v>1</v>
      </c>
      <c r="K18" s="477">
        <v>1</v>
      </c>
      <c r="L18" s="1168" t="s">
        <v>431</v>
      </c>
      <c r="M18" s="477">
        <v>5</v>
      </c>
      <c r="N18" s="1168" t="s">
        <v>431</v>
      </c>
      <c r="O18" s="1168" t="s">
        <v>431</v>
      </c>
      <c r="P18" s="477">
        <v>151</v>
      </c>
      <c r="Q18" s="1168">
        <v>2</v>
      </c>
      <c r="R18" s="1168" t="s">
        <v>431</v>
      </c>
      <c r="S18" s="1168">
        <v>1</v>
      </c>
      <c r="T18" s="1577">
        <v>98.726114649681534</v>
      </c>
      <c r="U18" s="1205">
        <v>0.63694267515923575</v>
      </c>
    </row>
    <row r="19" spans="1:21" ht="17.25" customHeight="1">
      <c r="A19" s="1119" t="s">
        <v>921</v>
      </c>
      <c r="B19" s="1570">
        <v>169</v>
      </c>
      <c r="C19" s="1570">
        <v>169</v>
      </c>
      <c r="D19" s="1570">
        <v>160</v>
      </c>
      <c r="E19" s="1570">
        <v>7</v>
      </c>
      <c r="F19" s="1570">
        <v>1</v>
      </c>
      <c r="G19" s="1572">
        <v>1</v>
      </c>
      <c r="H19" s="1572" t="s">
        <v>431</v>
      </c>
      <c r="I19" s="1572" t="s">
        <v>431</v>
      </c>
      <c r="J19" s="1572" t="s">
        <v>431</v>
      </c>
      <c r="K19" s="1572" t="s">
        <v>431</v>
      </c>
      <c r="L19" s="1572" t="s">
        <v>431</v>
      </c>
      <c r="M19" s="1570">
        <v>3</v>
      </c>
      <c r="N19" s="1572" t="s">
        <v>431</v>
      </c>
      <c r="O19" s="1572" t="s">
        <v>431</v>
      </c>
      <c r="P19" s="1570">
        <v>167</v>
      </c>
      <c r="Q19" s="1570">
        <v>1</v>
      </c>
      <c r="R19" s="1572" t="s">
        <v>431</v>
      </c>
      <c r="S19" s="1572" t="s">
        <v>431</v>
      </c>
      <c r="T19" s="1578">
        <v>100</v>
      </c>
      <c r="U19" s="1576" t="s">
        <v>431</v>
      </c>
    </row>
    <row r="20" spans="1:21" ht="17.25" customHeight="1">
      <c r="A20" s="1121" t="s">
        <v>923</v>
      </c>
      <c r="B20" s="477">
        <v>323</v>
      </c>
      <c r="C20" s="477">
        <v>320</v>
      </c>
      <c r="D20" s="477">
        <v>298</v>
      </c>
      <c r="E20" s="477">
        <v>8</v>
      </c>
      <c r="F20" s="477">
        <v>1</v>
      </c>
      <c r="G20" s="477">
        <v>9</v>
      </c>
      <c r="H20" s="1168">
        <v>4</v>
      </c>
      <c r="I20" s="1168" t="s">
        <v>431</v>
      </c>
      <c r="J20" s="1168" t="s">
        <v>431</v>
      </c>
      <c r="K20" s="477">
        <v>3</v>
      </c>
      <c r="L20" s="1168" t="s">
        <v>431</v>
      </c>
      <c r="M20" s="477">
        <v>7</v>
      </c>
      <c r="N20" s="1168" t="s">
        <v>431</v>
      </c>
      <c r="O20" s="1168" t="s">
        <v>431</v>
      </c>
      <c r="P20" s="477">
        <v>306</v>
      </c>
      <c r="Q20" s="477">
        <v>9</v>
      </c>
      <c r="R20" s="1168" t="s">
        <v>431</v>
      </c>
      <c r="S20" s="1168">
        <v>4</v>
      </c>
      <c r="T20" s="1577">
        <v>99.071207430340564</v>
      </c>
      <c r="U20" s="1170" t="s">
        <v>431</v>
      </c>
    </row>
    <row r="21" spans="1:21" ht="17.25" customHeight="1">
      <c r="A21" s="1121" t="s">
        <v>920</v>
      </c>
      <c r="B21" s="477">
        <v>170</v>
      </c>
      <c r="C21" s="477">
        <v>169</v>
      </c>
      <c r="D21" s="477">
        <v>155</v>
      </c>
      <c r="E21" s="477">
        <v>3</v>
      </c>
      <c r="F21" s="477">
        <v>1</v>
      </c>
      <c r="G21" s="477">
        <v>8</v>
      </c>
      <c r="H21" s="1168">
        <v>2</v>
      </c>
      <c r="I21" s="1168" t="s">
        <v>431</v>
      </c>
      <c r="J21" s="1168" t="s">
        <v>431</v>
      </c>
      <c r="K21" s="477">
        <v>1</v>
      </c>
      <c r="L21" s="1168" t="s">
        <v>431</v>
      </c>
      <c r="M21" s="477">
        <v>5</v>
      </c>
      <c r="N21" s="1168" t="s">
        <v>431</v>
      </c>
      <c r="O21" s="1168" t="s">
        <v>431</v>
      </c>
      <c r="P21" s="477">
        <v>158</v>
      </c>
      <c r="Q21" s="1168">
        <v>8</v>
      </c>
      <c r="R21" s="1168" t="s">
        <v>431</v>
      </c>
      <c r="S21" s="1168">
        <v>2</v>
      </c>
      <c r="T21" s="1577">
        <v>99.411764705882348</v>
      </c>
      <c r="U21" s="1170" t="s">
        <v>431</v>
      </c>
    </row>
    <row r="22" spans="1:21" ht="17.25" customHeight="1">
      <c r="A22" s="1119" t="s">
        <v>921</v>
      </c>
      <c r="B22" s="1570">
        <v>153</v>
      </c>
      <c r="C22" s="1570">
        <v>151</v>
      </c>
      <c r="D22" s="1570">
        <v>143</v>
      </c>
      <c r="E22" s="1570">
        <v>5</v>
      </c>
      <c r="F22" s="1572" t="s">
        <v>431</v>
      </c>
      <c r="G22" s="1572">
        <v>1</v>
      </c>
      <c r="H22" s="1572">
        <v>2</v>
      </c>
      <c r="I22" s="1572" t="s">
        <v>431</v>
      </c>
      <c r="J22" s="1572" t="s">
        <v>431</v>
      </c>
      <c r="K22" s="1570">
        <v>2</v>
      </c>
      <c r="L22" s="1572" t="s">
        <v>431</v>
      </c>
      <c r="M22" s="1570">
        <v>2</v>
      </c>
      <c r="N22" s="1572" t="s">
        <v>431</v>
      </c>
      <c r="O22" s="1572" t="s">
        <v>431</v>
      </c>
      <c r="P22" s="1570">
        <v>148</v>
      </c>
      <c r="Q22" s="1570">
        <v>1</v>
      </c>
      <c r="R22" s="1572" t="s">
        <v>431</v>
      </c>
      <c r="S22" s="1572">
        <v>2</v>
      </c>
      <c r="T22" s="1578">
        <v>98.692810457516345</v>
      </c>
      <c r="U22" s="1576" t="s">
        <v>431</v>
      </c>
    </row>
    <row r="23" spans="1:21" ht="17.25" customHeight="1">
      <c r="A23" s="1121" t="s">
        <v>924</v>
      </c>
      <c r="B23" s="477">
        <v>310</v>
      </c>
      <c r="C23" s="477">
        <v>306</v>
      </c>
      <c r="D23" s="477">
        <v>292</v>
      </c>
      <c r="E23" s="477">
        <v>5</v>
      </c>
      <c r="F23" s="477">
        <v>1</v>
      </c>
      <c r="G23" s="477">
        <v>3</v>
      </c>
      <c r="H23" s="1168">
        <v>5</v>
      </c>
      <c r="I23" s="1168" t="s">
        <v>431</v>
      </c>
      <c r="J23" s="477">
        <v>1</v>
      </c>
      <c r="K23" s="477">
        <v>3</v>
      </c>
      <c r="L23" s="1168" t="s">
        <v>431</v>
      </c>
      <c r="M23" s="477">
        <v>6</v>
      </c>
      <c r="N23" s="1168" t="s">
        <v>431</v>
      </c>
      <c r="O23" s="1168" t="s">
        <v>431</v>
      </c>
      <c r="P23" s="477">
        <v>282</v>
      </c>
      <c r="Q23" s="477">
        <v>3</v>
      </c>
      <c r="R23" s="1168" t="s">
        <v>431</v>
      </c>
      <c r="S23" s="1168">
        <v>5</v>
      </c>
      <c r="T23" s="1577">
        <v>98.709677419354833</v>
      </c>
      <c r="U23" s="1205">
        <v>0.32258064516129031</v>
      </c>
    </row>
    <row r="24" spans="1:21" ht="17.25" customHeight="1">
      <c r="A24" s="1121" t="s">
        <v>920</v>
      </c>
      <c r="B24" s="477">
        <v>186</v>
      </c>
      <c r="C24" s="477">
        <v>184</v>
      </c>
      <c r="D24" s="477">
        <v>174</v>
      </c>
      <c r="E24" s="477">
        <v>3</v>
      </c>
      <c r="F24" s="1168" t="s">
        <v>431</v>
      </c>
      <c r="G24" s="477">
        <v>3</v>
      </c>
      <c r="H24" s="1168">
        <v>4</v>
      </c>
      <c r="I24" s="1168" t="s">
        <v>431</v>
      </c>
      <c r="J24" s="477">
        <v>1</v>
      </c>
      <c r="K24" s="477">
        <v>1</v>
      </c>
      <c r="L24" s="1168" t="s">
        <v>431</v>
      </c>
      <c r="M24" s="477">
        <v>4</v>
      </c>
      <c r="N24" s="1168" t="s">
        <v>431</v>
      </c>
      <c r="O24" s="1168" t="s">
        <v>431</v>
      </c>
      <c r="P24" s="477">
        <v>165</v>
      </c>
      <c r="Q24" s="1168">
        <v>3</v>
      </c>
      <c r="R24" s="1168" t="s">
        <v>431</v>
      </c>
      <c r="S24" s="1168">
        <v>4</v>
      </c>
      <c r="T24" s="1577">
        <v>98.924731182795696</v>
      </c>
      <c r="U24" s="1205">
        <v>0.53763440860215062</v>
      </c>
    </row>
    <row r="25" spans="1:21" ht="17.25" customHeight="1">
      <c r="A25" s="1119" t="s">
        <v>921</v>
      </c>
      <c r="B25" s="1570">
        <v>124</v>
      </c>
      <c r="C25" s="1570">
        <v>122</v>
      </c>
      <c r="D25" s="1570">
        <v>118</v>
      </c>
      <c r="E25" s="1570">
        <v>2</v>
      </c>
      <c r="F25" s="1570">
        <v>1</v>
      </c>
      <c r="G25" s="1572" t="s">
        <v>431</v>
      </c>
      <c r="H25" s="1572">
        <v>1</v>
      </c>
      <c r="I25" s="1572" t="s">
        <v>431</v>
      </c>
      <c r="J25" s="1572" t="s">
        <v>431</v>
      </c>
      <c r="K25" s="1570">
        <v>2</v>
      </c>
      <c r="L25" s="1572" t="s">
        <v>431</v>
      </c>
      <c r="M25" s="1570">
        <v>2</v>
      </c>
      <c r="N25" s="1572" t="s">
        <v>431</v>
      </c>
      <c r="O25" s="1572" t="s">
        <v>431</v>
      </c>
      <c r="P25" s="1570">
        <v>117</v>
      </c>
      <c r="Q25" s="1572" t="s">
        <v>431</v>
      </c>
      <c r="R25" s="1572" t="s">
        <v>431</v>
      </c>
      <c r="S25" s="1572">
        <v>1</v>
      </c>
      <c r="T25" s="1578">
        <v>98.387096774193552</v>
      </c>
      <c r="U25" s="1576" t="s">
        <v>431</v>
      </c>
    </row>
    <row r="26" spans="1:21" ht="17.25" customHeight="1">
      <c r="A26" s="1121" t="s">
        <v>925</v>
      </c>
      <c r="B26" s="477">
        <v>312</v>
      </c>
      <c r="C26" s="477">
        <v>309</v>
      </c>
      <c r="D26" s="477">
        <v>301</v>
      </c>
      <c r="E26" s="477">
        <v>2</v>
      </c>
      <c r="F26" s="477">
        <v>3</v>
      </c>
      <c r="G26" s="477">
        <v>1</v>
      </c>
      <c r="H26" s="1168">
        <v>2</v>
      </c>
      <c r="I26" s="1168">
        <v>1</v>
      </c>
      <c r="J26" s="477" t="s">
        <v>431</v>
      </c>
      <c r="K26" s="477">
        <v>2</v>
      </c>
      <c r="L26" s="1168" t="s">
        <v>431</v>
      </c>
      <c r="M26" s="477">
        <v>10</v>
      </c>
      <c r="N26" s="1168" t="s">
        <v>431</v>
      </c>
      <c r="O26" s="1168" t="s">
        <v>431</v>
      </c>
      <c r="P26" s="477">
        <v>304</v>
      </c>
      <c r="Q26" s="477">
        <v>1</v>
      </c>
      <c r="R26" s="1168" t="s">
        <v>431</v>
      </c>
      <c r="S26" s="1168">
        <v>2</v>
      </c>
      <c r="T26" s="1577">
        <v>99.038461538461547</v>
      </c>
      <c r="U26" s="1170" t="s">
        <v>431</v>
      </c>
    </row>
    <row r="27" spans="1:21" ht="17.25" customHeight="1">
      <c r="A27" s="1121" t="s">
        <v>920</v>
      </c>
      <c r="B27" s="477">
        <v>167</v>
      </c>
      <c r="C27" s="477">
        <v>166</v>
      </c>
      <c r="D27" s="477">
        <v>161</v>
      </c>
      <c r="E27" s="477" t="s">
        <v>431</v>
      </c>
      <c r="F27" s="1168">
        <v>2</v>
      </c>
      <c r="G27" s="477">
        <v>1</v>
      </c>
      <c r="H27" s="1168">
        <v>2</v>
      </c>
      <c r="I27" s="1168" t="s">
        <v>431</v>
      </c>
      <c r="J27" s="477" t="s">
        <v>431</v>
      </c>
      <c r="K27" s="477">
        <v>1</v>
      </c>
      <c r="L27" s="1168" t="s">
        <v>431</v>
      </c>
      <c r="M27" s="477">
        <v>7</v>
      </c>
      <c r="N27" s="1168" t="s">
        <v>431</v>
      </c>
      <c r="O27" s="1168" t="s">
        <v>431</v>
      </c>
      <c r="P27" s="477">
        <v>162</v>
      </c>
      <c r="Q27" s="1168">
        <v>1</v>
      </c>
      <c r="R27" s="1168" t="s">
        <v>431</v>
      </c>
      <c r="S27" s="1168">
        <v>2</v>
      </c>
      <c r="T27" s="1577">
        <v>99.401197604790411</v>
      </c>
      <c r="U27" s="1170" t="s">
        <v>431</v>
      </c>
    </row>
    <row r="28" spans="1:21" ht="17.25" customHeight="1">
      <c r="A28" s="1119" t="s">
        <v>921</v>
      </c>
      <c r="B28" s="1570">
        <v>145</v>
      </c>
      <c r="C28" s="1570">
        <v>143</v>
      </c>
      <c r="D28" s="1570">
        <v>140</v>
      </c>
      <c r="E28" s="1570">
        <v>2</v>
      </c>
      <c r="F28" s="1570">
        <v>1</v>
      </c>
      <c r="G28" s="1572" t="s">
        <v>431</v>
      </c>
      <c r="H28" s="1572" t="s">
        <v>431</v>
      </c>
      <c r="I28" s="1572">
        <v>1</v>
      </c>
      <c r="J28" s="1572" t="s">
        <v>431</v>
      </c>
      <c r="K28" s="1570">
        <v>1</v>
      </c>
      <c r="L28" s="1572" t="s">
        <v>431</v>
      </c>
      <c r="M28" s="1570">
        <v>3</v>
      </c>
      <c r="N28" s="1572" t="s">
        <v>431</v>
      </c>
      <c r="O28" s="1572" t="s">
        <v>431</v>
      </c>
      <c r="P28" s="1570">
        <v>142</v>
      </c>
      <c r="Q28" s="1572" t="s">
        <v>431</v>
      </c>
      <c r="R28" s="1572" t="s">
        <v>431</v>
      </c>
      <c r="S28" s="1572" t="s">
        <v>431</v>
      </c>
      <c r="T28" s="1578">
        <v>98.620689655172413</v>
      </c>
      <c r="U28" s="1576" t="s">
        <v>431</v>
      </c>
    </row>
    <row r="29" spans="1:21" ht="17.25" customHeight="1">
      <c r="A29" s="1121" t="s">
        <v>926</v>
      </c>
      <c r="B29" s="477">
        <v>332</v>
      </c>
      <c r="C29" s="1168">
        <v>328</v>
      </c>
      <c r="D29" s="1168">
        <v>315</v>
      </c>
      <c r="E29" s="1168">
        <v>1</v>
      </c>
      <c r="F29" s="1168">
        <v>9</v>
      </c>
      <c r="G29" s="1168">
        <v>2</v>
      </c>
      <c r="H29" s="1168">
        <v>1</v>
      </c>
      <c r="I29" s="1168" t="s">
        <v>431</v>
      </c>
      <c r="J29" s="1168" t="s">
        <v>431</v>
      </c>
      <c r="K29" s="1168">
        <v>4</v>
      </c>
      <c r="L29" s="1168" t="s">
        <v>431</v>
      </c>
      <c r="M29" s="1168">
        <v>8</v>
      </c>
      <c r="N29" s="1168" t="s">
        <v>431</v>
      </c>
      <c r="O29" s="1168" t="s">
        <v>431</v>
      </c>
      <c r="P29" s="1168">
        <v>319</v>
      </c>
      <c r="Q29" s="1168">
        <v>2</v>
      </c>
      <c r="R29" s="1168" t="s">
        <v>431</v>
      </c>
      <c r="S29" s="1168">
        <v>1</v>
      </c>
      <c r="T29" s="1169">
        <v>98.795180722891558</v>
      </c>
      <c r="U29" s="1170" t="s">
        <v>431</v>
      </c>
    </row>
    <row r="30" spans="1:21" ht="17.25" customHeight="1">
      <c r="A30" s="1121" t="s">
        <v>920</v>
      </c>
      <c r="B30" s="477">
        <v>162</v>
      </c>
      <c r="C30" s="1168">
        <v>159</v>
      </c>
      <c r="D30" s="1168">
        <v>154</v>
      </c>
      <c r="E30" s="1168">
        <v>1</v>
      </c>
      <c r="F30" s="1168">
        <v>4</v>
      </c>
      <c r="G30" s="1168" t="s">
        <v>431</v>
      </c>
      <c r="H30" s="1168" t="s">
        <v>431</v>
      </c>
      <c r="I30" s="1168" t="s">
        <v>431</v>
      </c>
      <c r="J30" s="1168" t="s">
        <v>431</v>
      </c>
      <c r="K30" s="1168">
        <v>3</v>
      </c>
      <c r="L30" s="1168" t="s">
        <v>431</v>
      </c>
      <c r="M30" s="1168">
        <v>6</v>
      </c>
      <c r="N30" s="1168" t="s">
        <v>431</v>
      </c>
      <c r="O30" s="1168" t="s">
        <v>431</v>
      </c>
      <c r="P30" s="1168">
        <v>158</v>
      </c>
      <c r="Q30" s="1168" t="s">
        <v>431</v>
      </c>
      <c r="R30" s="1168" t="s">
        <v>431</v>
      </c>
      <c r="S30" s="1168" t="s">
        <v>431</v>
      </c>
      <c r="T30" s="1169">
        <v>98.148148148148152</v>
      </c>
      <c r="U30" s="1170" t="s">
        <v>431</v>
      </c>
    </row>
    <row r="31" spans="1:21" ht="17.25" customHeight="1">
      <c r="A31" s="1119" t="s">
        <v>921</v>
      </c>
      <c r="B31" s="1570">
        <v>170</v>
      </c>
      <c r="C31" s="1572">
        <v>169</v>
      </c>
      <c r="D31" s="1572">
        <v>161</v>
      </c>
      <c r="E31" s="1572" t="s">
        <v>431</v>
      </c>
      <c r="F31" s="1572">
        <v>5</v>
      </c>
      <c r="G31" s="1572">
        <v>2</v>
      </c>
      <c r="H31" s="1572">
        <v>1</v>
      </c>
      <c r="I31" s="1572" t="s">
        <v>431</v>
      </c>
      <c r="J31" s="1572" t="s">
        <v>431</v>
      </c>
      <c r="K31" s="1572">
        <v>1</v>
      </c>
      <c r="L31" s="1572" t="s">
        <v>431</v>
      </c>
      <c r="M31" s="1572">
        <v>2</v>
      </c>
      <c r="N31" s="1572" t="s">
        <v>431</v>
      </c>
      <c r="O31" s="1572" t="s">
        <v>431</v>
      </c>
      <c r="P31" s="1572">
        <v>161</v>
      </c>
      <c r="Q31" s="1572">
        <v>2</v>
      </c>
      <c r="R31" s="1572" t="s">
        <v>431</v>
      </c>
      <c r="S31" s="1572">
        <v>1</v>
      </c>
      <c r="T31" s="1575">
        <v>99.411764705882348</v>
      </c>
      <c r="U31" s="1576" t="s">
        <v>431</v>
      </c>
    </row>
    <row r="32" spans="1:21" ht="17.25" customHeight="1">
      <c r="A32" s="1121" t="s">
        <v>927</v>
      </c>
      <c r="B32" s="477">
        <v>318</v>
      </c>
      <c r="C32" s="1168">
        <v>317</v>
      </c>
      <c r="D32" s="1168">
        <v>304</v>
      </c>
      <c r="E32" s="1168">
        <v>6</v>
      </c>
      <c r="F32" s="1168">
        <v>3</v>
      </c>
      <c r="G32" s="1168">
        <v>2</v>
      </c>
      <c r="H32" s="1168">
        <v>2</v>
      </c>
      <c r="I32" s="1168" t="s">
        <v>431</v>
      </c>
      <c r="J32" s="1168" t="s">
        <v>431</v>
      </c>
      <c r="K32" s="1168">
        <v>1</v>
      </c>
      <c r="L32" s="1168" t="s">
        <v>431</v>
      </c>
      <c r="M32" s="1168">
        <v>13</v>
      </c>
      <c r="N32" s="1168" t="s">
        <v>431</v>
      </c>
      <c r="O32" s="1168" t="s">
        <v>431</v>
      </c>
      <c r="P32" s="1168">
        <v>310</v>
      </c>
      <c r="Q32" s="1168">
        <v>2</v>
      </c>
      <c r="R32" s="1168" t="s">
        <v>431</v>
      </c>
      <c r="S32" s="1168">
        <v>2</v>
      </c>
      <c r="T32" s="1169">
        <v>99.685534591194966</v>
      </c>
      <c r="U32" s="1170" t="s">
        <v>431</v>
      </c>
    </row>
    <row r="33" spans="1:21" ht="17.25" customHeight="1">
      <c r="A33" s="1121" t="s">
        <v>920</v>
      </c>
      <c r="B33" s="477">
        <v>169</v>
      </c>
      <c r="C33" s="1168">
        <v>168</v>
      </c>
      <c r="D33" s="1168">
        <v>161</v>
      </c>
      <c r="E33" s="1168">
        <v>4</v>
      </c>
      <c r="F33" s="1168">
        <v>1</v>
      </c>
      <c r="G33" s="1168">
        <v>1</v>
      </c>
      <c r="H33" s="1168">
        <v>1</v>
      </c>
      <c r="I33" s="1168" t="s">
        <v>431</v>
      </c>
      <c r="J33" s="1168" t="s">
        <v>431</v>
      </c>
      <c r="K33" s="1168">
        <v>1</v>
      </c>
      <c r="L33" s="1168" t="s">
        <v>431</v>
      </c>
      <c r="M33" s="1168">
        <v>9</v>
      </c>
      <c r="N33" s="1168" t="s">
        <v>431</v>
      </c>
      <c r="O33" s="1168" t="s">
        <v>431</v>
      </c>
      <c r="P33" s="1168">
        <v>165</v>
      </c>
      <c r="Q33" s="1168">
        <v>1</v>
      </c>
      <c r="R33" s="1168" t="s">
        <v>431</v>
      </c>
      <c r="S33" s="1168">
        <v>1</v>
      </c>
      <c r="T33" s="1169">
        <v>99.408284023668642</v>
      </c>
      <c r="U33" s="1170" t="s">
        <v>431</v>
      </c>
    </row>
    <row r="34" spans="1:21" ht="17.25" customHeight="1">
      <c r="A34" s="1119" t="s">
        <v>921</v>
      </c>
      <c r="B34" s="1570">
        <v>149</v>
      </c>
      <c r="C34" s="1572">
        <v>149</v>
      </c>
      <c r="D34" s="1572">
        <v>143</v>
      </c>
      <c r="E34" s="1572">
        <v>2</v>
      </c>
      <c r="F34" s="1572">
        <v>2</v>
      </c>
      <c r="G34" s="1572">
        <v>1</v>
      </c>
      <c r="H34" s="1572">
        <v>1</v>
      </c>
      <c r="I34" s="1572" t="s">
        <v>431</v>
      </c>
      <c r="J34" s="1572" t="s">
        <v>431</v>
      </c>
      <c r="K34" s="1572" t="s">
        <v>431</v>
      </c>
      <c r="L34" s="1572" t="s">
        <v>431</v>
      </c>
      <c r="M34" s="1572">
        <v>4</v>
      </c>
      <c r="N34" s="1572" t="s">
        <v>431</v>
      </c>
      <c r="O34" s="1572" t="s">
        <v>431</v>
      </c>
      <c r="P34" s="1572">
        <v>145</v>
      </c>
      <c r="Q34" s="1572">
        <v>1</v>
      </c>
      <c r="R34" s="1572" t="s">
        <v>431</v>
      </c>
      <c r="S34" s="1572">
        <v>1</v>
      </c>
      <c r="T34" s="1575">
        <v>100</v>
      </c>
      <c r="U34" s="1576" t="s">
        <v>431</v>
      </c>
    </row>
    <row r="35" spans="1:21" ht="17.25" customHeight="1">
      <c r="A35" s="1163" t="s">
        <v>928</v>
      </c>
      <c r="B35" s="1164">
        <v>278</v>
      </c>
      <c r="C35" s="1165">
        <v>276</v>
      </c>
      <c r="D35" s="1165">
        <v>256</v>
      </c>
      <c r="E35" s="1165">
        <v>6</v>
      </c>
      <c r="F35" s="1165">
        <v>5</v>
      </c>
      <c r="G35" s="1165">
        <v>6</v>
      </c>
      <c r="H35" s="1165">
        <v>3</v>
      </c>
      <c r="I35" s="1165" t="s">
        <v>431</v>
      </c>
      <c r="J35" s="1165" t="s">
        <v>431</v>
      </c>
      <c r="K35" s="1165">
        <v>2</v>
      </c>
      <c r="L35" s="1165" t="s">
        <v>431</v>
      </c>
      <c r="M35" s="1165">
        <v>8</v>
      </c>
      <c r="N35" s="1165" t="s">
        <v>431</v>
      </c>
      <c r="O35" s="1165" t="s">
        <v>431</v>
      </c>
      <c r="P35" s="1165">
        <v>262</v>
      </c>
      <c r="Q35" s="1165">
        <v>6</v>
      </c>
      <c r="R35" s="1165" t="s">
        <v>431</v>
      </c>
      <c r="S35" s="1165">
        <v>3</v>
      </c>
      <c r="T35" s="1166">
        <v>99.280575539568346</v>
      </c>
      <c r="U35" s="1167" t="s">
        <v>431</v>
      </c>
    </row>
    <row r="36" spans="1:21" ht="17.25" customHeight="1">
      <c r="A36" s="1121" t="s">
        <v>920</v>
      </c>
      <c r="B36" s="477">
        <v>155</v>
      </c>
      <c r="C36" s="1168">
        <v>154</v>
      </c>
      <c r="D36" s="1168">
        <v>139</v>
      </c>
      <c r="E36" s="1168">
        <v>4</v>
      </c>
      <c r="F36" s="1168">
        <v>3</v>
      </c>
      <c r="G36" s="1168">
        <v>6</v>
      </c>
      <c r="H36" s="1168">
        <v>2</v>
      </c>
      <c r="I36" s="1168" t="s">
        <v>431</v>
      </c>
      <c r="J36" s="1168" t="s">
        <v>431</v>
      </c>
      <c r="K36" s="1168">
        <v>1</v>
      </c>
      <c r="L36" s="1168" t="s">
        <v>431</v>
      </c>
      <c r="M36" s="1168">
        <v>4</v>
      </c>
      <c r="N36" s="1168" t="s">
        <v>431</v>
      </c>
      <c r="O36" s="1168" t="s">
        <v>431</v>
      </c>
      <c r="P36" s="1168">
        <v>143</v>
      </c>
      <c r="Q36" s="1168">
        <v>6</v>
      </c>
      <c r="R36" s="1168" t="s">
        <v>431</v>
      </c>
      <c r="S36" s="1168">
        <v>2</v>
      </c>
      <c r="T36" s="1169">
        <v>99.354838709677423</v>
      </c>
      <c r="U36" s="1170" t="s">
        <v>431</v>
      </c>
    </row>
    <row r="37" spans="1:21" ht="17.25" customHeight="1">
      <c r="A37" s="1119" t="s">
        <v>921</v>
      </c>
      <c r="B37" s="1570">
        <v>123</v>
      </c>
      <c r="C37" s="1572">
        <v>122</v>
      </c>
      <c r="D37" s="1572">
        <v>117</v>
      </c>
      <c r="E37" s="1572">
        <v>2</v>
      </c>
      <c r="F37" s="1572">
        <v>2</v>
      </c>
      <c r="G37" s="1572" t="s">
        <v>431</v>
      </c>
      <c r="H37" s="1572">
        <v>1</v>
      </c>
      <c r="I37" s="1572" t="s">
        <v>431</v>
      </c>
      <c r="J37" s="1572" t="s">
        <v>431</v>
      </c>
      <c r="K37" s="1572">
        <v>1</v>
      </c>
      <c r="L37" s="1572" t="s">
        <v>431</v>
      </c>
      <c r="M37" s="1572">
        <v>4</v>
      </c>
      <c r="N37" s="1572" t="s">
        <v>431</v>
      </c>
      <c r="O37" s="1572" t="s">
        <v>431</v>
      </c>
      <c r="P37" s="1572">
        <v>119</v>
      </c>
      <c r="Q37" s="1572" t="s">
        <v>431</v>
      </c>
      <c r="R37" s="1572" t="s">
        <v>431</v>
      </c>
      <c r="S37" s="1572">
        <v>1</v>
      </c>
      <c r="T37" s="1575">
        <v>99.1869918699187</v>
      </c>
      <c r="U37" s="1576" t="s">
        <v>431</v>
      </c>
    </row>
    <row r="38" spans="1:21" ht="17.25" customHeight="1">
      <c r="A38" s="1163" t="s">
        <v>929</v>
      </c>
      <c r="B38" s="1164">
        <v>309</v>
      </c>
      <c r="C38" s="1165">
        <v>304</v>
      </c>
      <c r="D38" s="1165">
        <v>293</v>
      </c>
      <c r="E38" s="1165">
        <v>4</v>
      </c>
      <c r="F38" s="1165">
        <v>2</v>
      </c>
      <c r="G38" s="1165">
        <v>2</v>
      </c>
      <c r="H38" s="1165">
        <v>3</v>
      </c>
      <c r="I38" s="1165" t="s">
        <v>431</v>
      </c>
      <c r="J38" s="1165" t="s">
        <v>431</v>
      </c>
      <c r="K38" s="1165">
        <v>5</v>
      </c>
      <c r="L38" s="1165" t="s">
        <v>431</v>
      </c>
      <c r="M38" s="1165">
        <v>6</v>
      </c>
      <c r="N38" s="1165" t="s">
        <v>431</v>
      </c>
      <c r="O38" s="1165" t="s">
        <v>431</v>
      </c>
      <c r="P38" s="1165">
        <v>297</v>
      </c>
      <c r="Q38" s="1165">
        <v>2</v>
      </c>
      <c r="R38" s="1165" t="s">
        <v>431</v>
      </c>
      <c r="S38" s="1165">
        <v>3</v>
      </c>
      <c r="T38" s="1166">
        <v>98.381877022653725</v>
      </c>
      <c r="U38" s="1167" t="s">
        <v>431</v>
      </c>
    </row>
    <row r="39" spans="1:21" ht="17.25" customHeight="1">
      <c r="A39" s="1121" t="s">
        <v>920</v>
      </c>
      <c r="B39" s="477">
        <v>165</v>
      </c>
      <c r="C39" s="1168">
        <v>164</v>
      </c>
      <c r="D39" s="1168">
        <v>158</v>
      </c>
      <c r="E39" s="1168">
        <v>1</v>
      </c>
      <c r="F39" s="1168">
        <v>1</v>
      </c>
      <c r="G39" s="1168">
        <v>1</v>
      </c>
      <c r="H39" s="1168">
        <v>3</v>
      </c>
      <c r="I39" s="1168" t="s">
        <v>431</v>
      </c>
      <c r="J39" s="1168" t="s">
        <v>431</v>
      </c>
      <c r="K39" s="1168">
        <v>1</v>
      </c>
      <c r="L39" s="1168" t="s">
        <v>431</v>
      </c>
      <c r="M39" s="1168">
        <v>4</v>
      </c>
      <c r="N39" s="1168" t="s">
        <v>431</v>
      </c>
      <c r="O39" s="1168" t="s">
        <v>431</v>
      </c>
      <c r="P39" s="1168">
        <v>159</v>
      </c>
      <c r="Q39" s="1168">
        <v>1</v>
      </c>
      <c r="R39" s="1168" t="s">
        <v>431</v>
      </c>
      <c r="S39" s="1168">
        <v>3</v>
      </c>
      <c r="T39" s="1169">
        <v>99.393939393939391</v>
      </c>
      <c r="U39" s="1170" t="s">
        <v>431</v>
      </c>
    </row>
    <row r="40" spans="1:21" ht="17.25" customHeight="1">
      <c r="A40" s="1119" t="s">
        <v>921</v>
      </c>
      <c r="B40" s="1570">
        <v>144</v>
      </c>
      <c r="C40" s="1572">
        <v>140</v>
      </c>
      <c r="D40" s="1572">
        <v>135</v>
      </c>
      <c r="E40" s="1572">
        <v>3</v>
      </c>
      <c r="F40" s="1572">
        <v>1</v>
      </c>
      <c r="G40" s="1572">
        <v>1</v>
      </c>
      <c r="H40" s="1572" t="s">
        <v>431</v>
      </c>
      <c r="I40" s="1572" t="s">
        <v>431</v>
      </c>
      <c r="J40" s="1572" t="s">
        <v>431</v>
      </c>
      <c r="K40" s="1572">
        <v>4</v>
      </c>
      <c r="L40" s="1572" t="s">
        <v>431</v>
      </c>
      <c r="M40" s="1572">
        <v>2</v>
      </c>
      <c r="N40" s="1572" t="s">
        <v>431</v>
      </c>
      <c r="O40" s="1572" t="s">
        <v>431</v>
      </c>
      <c r="P40" s="1572">
        <v>138</v>
      </c>
      <c r="Q40" s="1572">
        <v>1</v>
      </c>
      <c r="R40" s="1572" t="s">
        <v>431</v>
      </c>
      <c r="S40" s="1572" t="s">
        <v>431</v>
      </c>
      <c r="T40" s="1575">
        <v>97.222222222222214</v>
      </c>
      <c r="U40" s="1576" t="s">
        <v>431</v>
      </c>
    </row>
    <row r="41" spans="1:21" ht="17.25" customHeight="1">
      <c r="A41" s="1163" t="s">
        <v>930</v>
      </c>
      <c r="B41" s="1164">
        <v>245</v>
      </c>
      <c r="C41" s="1165">
        <v>244</v>
      </c>
      <c r="D41" s="1165">
        <v>234</v>
      </c>
      <c r="E41" s="1165">
        <v>3</v>
      </c>
      <c r="F41" s="1165">
        <v>3</v>
      </c>
      <c r="G41" s="1165">
        <v>4</v>
      </c>
      <c r="H41" s="1165" t="s">
        <v>431</v>
      </c>
      <c r="I41" s="1165" t="s">
        <v>431</v>
      </c>
      <c r="J41" s="1165" t="s">
        <v>431</v>
      </c>
      <c r="K41" s="1165">
        <v>1</v>
      </c>
      <c r="L41" s="1165" t="s">
        <v>431</v>
      </c>
      <c r="M41" s="1165">
        <v>6</v>
      </c>
      <c r="N41" s="1165" t="s">
        <v>431</v>
      </c>
      <c r="O41" s="1165" t="s">
        <v>431</v>
      </c>
      <c r="P41" s="1165">
        <v>238</v>
      </c>
      <c r="Q41" s="1165">
        <v>4</v>
      </c>
      <c r="R41" s="1165" t="s">
        <v>431</v>
      </c>
      <c r="S41" s="1165" t="s">
        <v>431</v>
      </c>
      <c r="T41" s="1166">
        <v>99.591836734693871</v>
      </c>
      <c r="U41" s="1167" t="s">
        <v>431</v>
      </c>
    </row>
    <row r="42" spans="1:21" ht="17.25" customHeight="1">
      <c r="A42" s="1121" t="s">
        <v>920</v>
      </c>
      <c r="B42" s="477">
        <v>127</v>
      </c>
      <c r="C42" s="1168">
        <v>126</v>
      </c>
      <c r="D42" s="1168">
        <v>121</v>
      </c>
      <c r="E42" s="1168">
        <v>1</v>
      </c>
      <c r="F42" s="1168" t="s">
        <v>431</v>
      </c>
      <c r="G42" s="1168">
        <v>4</v>
      </c>
      <c r="H42" s="1168" t="s">
        <v>431</v>
      </c>
      <c r="I42" s="1168" t="s">
        <v>431</v>
      </c>
      <c r="J42" s="1168" t="s">
        <v>431</v>
      </c>
      <c r="K42" s="1168">
        <v>1</v>
      </c>
      <c r="L42" s="1168" t="s">
        <v>431</v>
      </c>
      <c r="M42" s="1168">
        <v>5</v>
      </c>
      <c r="N42" s="1168" t="s">
        <v>431</v>
      </c>
      <c r="O42" s="1168" t="s">
        <v>431</v>
      </c>
      <c r="P42" s="1168">
        <v>123</v>
      </c>
      <c r="Q42" s="1168">
        <v>4</v>
      </c>
      <c r="R42" s="1168" t="s">
        <v>431</v>
      </c>
      <c r="S42" s="1168" t="s">
        <v>431</v>
      </c>
      <c r="T42" s="1169">
        <v>99.212598425196859</v>
      </c>
      <c r="U42" s="1170" t="s">
        <v>431</v>
      </c>
    </row>
    <row r="43" spans="1:21" ht="17.25" customHeight="1">
      <c r="A43" s="1119" t="s">
        <v>921</v>
      </c>
      <c r="B43" s="1570">
        <v>118</v>
      </c>
      <c r="C43" s="1572">
        <v>118</v>
      </c>
      <c r="D43" s="1572">
        <v>113</v>
      </c>
      <c r="E43" s="1572">
        <v>2</v>
      </c>
      <c r="F43" s="1572">
        <v>3</v>
      </c>
      <c r="G43" s="1572" t="s">
        <v>431</v>
      </c>
      <c r="H43" s="1572" t="s">
        <v>431</v>
      </c>
      <c r="I43" s="1572" t="s">
        <v>431</v>
      </c>
      <c r="J43" s="1572" t="s">
        <v>431</v>
      </c>
      <c r="K43" s="1572" t="s">
        <v>431</v>
      </c>
      <c r="L43" s="1572" t="s">
        <v>431</v>
      </c>
      <c r="M43" s="1572">
        <v>1</v>
      </c>
      <c r="N43" s="1572" t="s">
        <v>431</v>
      </c>
      <c r="O43" s="1572" t="s">
        <v>431</v>
      </c>
      <c r="P43" s="1572">
        <v>115</v>
      </c>
      <c r="Q43" s="1572" t="s">
        <v>431</v>
      </c>
      <c r="R43" s="1572" t="s">
        <v>431</v>
      </c>
      <c r="S43" s="1572" t="s">
        <v>431</v>
      </c>
      <c r="T43" s="1575">
        <v>100</v>
      </c>
      <c r="U43" s="1576" t="s">
        <v>431</v>
      </c>
    </row>
    <row r="44" spans="1:21" ht="17.25" customHeight="1">
      <c r="A44" s="1121" t="s">
        <v>931</v>
      </c>
      <c r="B44" s="477">
        <v>262</v>
      </c>
      <c r="C44" s="1168">
        <v>260</v>
      </c>
      <c r="D44" s="1168">
        <v>245</v>
      </c>
      <c r="E44" s="1168">
        <v>4</v>
      </c>
      <c r="F44" s="1168">
        <v>7</v>
      </c>
      <c r="G44" s="1168">
        <v>3</v>
      </c>
      <c r="H44" s="1168">
        <v>1</v>
      </c>
      <c r="I44" s="1168">
        <v>1</v>
      </c>
      <c r="J44" s="1168" t="s">
        <v>431</v>
      </c>
      <c r="K44" s="1168">
        <v>1</v>
      </c>
      <c r="L44" s="1168" t="s">
        <v>431</v>
      </c>
      <c r="M44" s="1168">
        <v>10</v>
      </c>
      <c r="N44" s="1168" t="s">
        <v>431</v>
      </c>
      <c r="O44" s="1168" t="s">
        <v>431</v>
      </c>
      <c r="P44" s="1168">
        <v>253</v>
      </c>
      <c r="Q44" s="1168">
        <v>3</v>
      </c>
      <c r="R44" s="1168" t="s">
        <v>431</v>
      </c>
      <c r="S44" s="1168" t="s">
        <v>431</v>
      </c>
      <c r="T44" s="1169">
        <v>99.236641221374043</v>
      </c>
      <c r="U44" s="1170" t="s">
        <v>431</v>
      </c>
    </row>
    <row r="45" spans="1:21" ht="17.25" customHeight="1">
      <c r="A45" s="1121" t="s">
        <v>920</v>
      </c>
      <c r="B45" s="477">
        <v>123</v>
      </c>
      <c r="C45" s="1168">
        <v>123</v>
      </c>
      <c r="D45" s="1168">
        <v>115</v>
      </c>
      <c r="E45" s="1168">
        <v>1</v>
      </c>
      <c r="F45" s="1168">
        <v>3</v>
      </c>
      <c r="G45" s="1168">
        <v>3</v>
      </c>
      <c r="H45" s="1168">
        <v>1</v>
      </c>
      <c r="I45" s="1168" t="s">
        <v>431</v>
      </c>
      <c r="J45" s="1168" t="s">
        <v>431</v>
      </c>
      <c r="K45" s="1168" t="s">
        <v>431</v>
      </c>
      <c r="L45" s="1168" t="s">
        <v>431</v>
      </c>
      <c r="M45" s="1168">
        <v>2</v>
      </c>
      <c r="N45" s="1168" t="s">
        <v>431</v>
      </c>
      <c r="O45" s="1168" t="s">
        <v>431</v>
      </c>
      <c r="P45" s="1168">
        <v>120</v>
      </c>
      <c r="Q45" s="1168">
        <v>3</v>
      </c>
      <c r="R45" s="1168" t="s">
        <v>431</v>
      </c>
      <c r="S45" s="1168" t="s">
        <v>431</v>
      </c>
      <c r="T45" s="1169">
        <v>100</v>
      </c>
      <c r="U45" s="1170" t="s">
        <v>431</v>
      </c>
    </row>
    <row r="46" spans="1:21" ht="17.25" customHeight="1">
      <c r="A46" s="1121" t="s">
        <v>921</v>
      </c>
      <c r="B46" s="477">
        <v>139</v>
      </c>
      <c r="C46" s="1168">
        <v>137</v>
      </c>
      <c r="D46" s="1168">
        <v>130</v>
      </c>
      <c r="E46" s="1168">
        <v>3</v>
      </c>
      <c r="F46" s="1168">
        <v>4</v>
      </c>
      <c r="G46" s="1168" t="s">
        <v>431</v>
      </c>
      <c r="H46" s="1168" t="s">
        <v>431</v>
      </c>
      <c r="I46" s="1168">
        <v>1</v>
      </c>
      <c r="J46" s="1168" t="s">
        <v>431</v>
      </c>
      <c r="K46" s="1168">
        <v>1</v>
      </c>
      <c r="L46" s="1168" t="s">
        <v>431</v>
      </c>
      <c r="M46" s="1168">
        <v>8</v>
      </c>
      <c r="N46" s="1168" t="s">
        <v>431</v>
      </c>
      <c r="O46" s="1168" t="s">
        <v>431</v>
      </c>
      <c r="P46" s="1168">
        <v>133</v>
      </c>
      <c r="Q46" s="1168" t="s">
        <v>431</v>
      </c>
      <c r="R46" s="1168" t="s">
        <v>431</v>
      </c>
      <c r="S46" s="1168" t="s">
        <v>431</v>
      </c>
      <c r="T46" s="1169">
        <v>98.561151079136707</v>
      </c>
      <c r="U46" s="1170" t="s">
        <v>431</v>
      </c>
    </row>
    <row r="47" spans="1:21" ht="17.25" customHeight="1">
      <c r="A47" s="1163" t="s">
        <v>932</v>
      </c>
      <c r="B47" s="1164">
        <v>235</v>
      </c>
      <c r="C47" s="1165">
        <v>233</v>
      </c>
      <c r="D47" s="1165">
        <v>221</v>
      </c>
      <c r="E47" s="1165">
        <v>4</v>
      </c>
      <c r="F47" s="1165">
        <v>7</v>
      </c>
      <c r="G47" s="1165" t="s">
        <v>431</v>
      </c>
      <c r="H47" s="1165">
        <v>1</v>
      </c>
      <c r="I47" s="1165" t="s">
        <v>431</v>
      </c>
      <c r="J47" s="1165">
        <v>2</v>
      </c>
      <c r="K47" s="1165">
        <v>1</v>
      </c>
      <c r="L47" s="1165" t="s">
        <v>431</v>
      </c>
      <c r="M47" s="1165">
        <v>2</v>
      </c>
      <c r="N47" s="1165" t="s">
        <v>431</v>
      </c>
      <c r="O47" s="1165" t="s">
        <v>431</v>
      </c>
      <c r="P47" s="1165">
        <v>225</v>
      </c>
      <c r="Q47" s="1165" t="s">
        <v>431</v>
      </c>
      <c r="R47" s="1165" t="s">
        <v>431</v>
      </c>
      <c r="S47" s="1165">
        <v>1</v>
      </c>
      <c r="T47" s="1166">
        <v>99.148936170212764</v>
      </c>
      <c r="U47" s="1167">
        <v>1.9</v>
      </c>
    </row>
    <row r="48" spans="1:21" ht="17.25" customHeight="1">
      <c r="A48" s="1121" t="s">
        <v>920</v>
      </c>
      <c r="B48" s="477">
        <v>107</v>
      </c>
      <c r="C48" s="1168">
        <v>105</v>
      </c>
      <c r="D48" s="1168">
        <v>99</v>
      </c>
      <c r="E48" s="1168">
        <v>2</v>
      </c>
      <c r="F48" s="1168">
        <v>3</v>
      </c>
      <c r="G48" s="1168" t="s">
        <v>431</v>
      </c>
      <c r="H48" s="1168">
        <v>1</v>
      </c>
      <c r="I48" s="1168" t="s">
        <v>431</v>
      </c>
      <c r="J48" s="1168">
        <v>2</v>
      </c>
      <c r="K48" s="1168">
        <v>1</v>
      </c>
      <c r="L48" s="1168" t="s">
        <v>431</v>
      </c>
      <c r="M48" s="1168">
        <v>2</v>
      </c>
      <c r="N48" s="1168" t="s">
        <v>431</v>
      </c>
      <c r="O48" s="1168" t="s">
        <v>431</v>
      </c>
      <c r="P48" s="1168">
        <v>101</v>
      </c>
      <c r="Q48" s="1168" t="s">
        <v>431</v>
      </c>
      <c r="R48" s="1168" t="s">
        <v>431</v>
      </c>
      <c r="S48" s="1168">
        <v>1</v>
      </c>
      <c r="T48" s="1169">
        <v>98.130841121495322</v>
      </c>
      <c r="U48" s="1170">
        <f>+J48/B48*100</f>
        <v>1.8691588785046727</v>
      </c>
    </row>
    <row r="49" spans="1:21" ht="17.25" customHeight="1">
      <c r="A49" s="1119" t="s">
        <v>921</v>
      </c>
      <c r="B49" s="1570">
        <v>128</v>
      </c>
      <c r="C49" s="1572">
        <v>128</v>
      </c>
      <c r="D49" s="1572">
        <v>122</v>
      </c>
      <c r="E49" s="1572">
        <v>2</v>
      </c>
      <c r="F49" s="1572">
        <v>4</v>
      </c>
      <c r="G49" s="1572" t="s">
        <v>431</v>
      </c>
      <c r="H49" s="1572" t="s">
        <v>431</v>
      </c>
      <c r="I49" s="1572" t="s">
        <v>431</v>
      </c>
      <c r="J49" s="1572" t="s">
        <v>431</v>
      </c>
      <c r="K49" s="1572" t="s">
        <v>431</v>
      </c>
      <c r="L49" s="1572" t="s">
        <v>431</v>
      </c>
      <c r="M49" s="1572" t="s">
        <v>431</v>
      </c>
      <c r="N49" s="1572" t="s">
        <v>431</v>
      </c>
      <c r="O49" s="1572" t="s">
        <v>431</v>
      </c>
      <c r="P49" s="1572">
        <v>124</v>
      </c>
      <c r="Q49" s="1572" t="s">
        <v>431</v>
      </c>
      <c r="R49" s="1572" t="s">
        <v>431</v>
      </c>
      <c r="S49" s="1572" t="s">
        <v>431</v>
      </c>
      <c r="T49" s="1575">
        <v>100</v>
      </c>
      <c r="U49" s="1576" t="s">
        <v>305</v>
      </c>
    </row>
    <row r="50" spans="1:21" ht="17.25" customHeight="1">
      <c r="A50" s="1121" t="s">
        <v>933</v>
      </c>
      <c r="B50" s="477">
        <v>241</v>
      </c>
      <c r="C50" s="1168">
        <v>240</v>
      </c>
      <c r="D50" s="1168">
        <v>219</v>
      </c>
      <c r="E50" s="1168">
        <v>10</v>
      </c>
      <c r="F50" s="1168">
        <v>11</v>
      </c>
      <c r="G50" s="1168" t="s">
        <v>305</v>
      </c>
      <c r="H50" s="1168" t="s">
        <v>305</v>
      </c>
      <c r="I50" s="1168" t="s">
        <v>305</v>
      </c>
      <c r="J50" s="1168" t="s">
        <v>305</v>
      </c>
      <c r="K50" s="1168">
        <v>1</v>
      </c>
      <c r="L50" s="1168" t="s">
        <v>305</v>
      </c>
      <c r="M50" s="1168">
        <v>9</v>
      </c>
      <c r="N50" s="1168" t="s">
        <v>305</v>
      </c>
      <c r="O50" s="1168" t="s">
        <v>305</v>
      </c>
      <c r="P50" s="1168">
        <v>229</v>
      </c>
      <c r="Q50" s="1168" t="s">
        <v>305</v>
      </c>
      <c r="R50" s="1168" t="s">
        <v>305</v>
      </c>
      <c r="S50" s="1168" t="s">
        <v>305</v>
      </c>
      <c r="T50" s="1169">
        <v>99.585062240663902</v>
      </c>
      <c r="U50" s="1170" t="s">
        <v>431</v>
      </c>
    </row>
    <row r="51" spans="1:21" ht="17.25" customHeight="1">
      <c r="A51" s="1121" t="s">
        <v>920</v>
      </c>
      <c r="B51" s="477">
        <v>113</v>
      </c>
      <c r="C51" s="1168">
        <v>113</v>
      </c>
      <c r="D51" s="1168">
        <v>109</v>
      </c>
      <c r="E51" s="1168">
        <v>2</v>
      </c>
      <c r="F51" s="1168">
        <v>2</v>
      </c>
      <c r="G51" s="1168" t="s">
        <v>431</v>
      </c>
      <c r="H51" s="1168" t="s">
        <v>431</v>
      </c>
      <c r="I51" s="1168" t="s">
        <v>431</v>
      </c>
      <c r="J51" s="1168" t="s">
        <v>431</v>
      </c>
      <c r="K51" s="1168" t="s">
        <v>431</v>
      </c>
      <c r="L51" s="1168" t="s">
        <v>431</v>
      </c>
      <c r="M51" s="1168">
        <v>3</v>
      </c>
      <c r="N51" s="1168" t="s">
        <v>431</v>
      </c>
      <c r="O51" s="1168" t="s">
        <v>431</v>
      </c>
      <c r="P51" s="1168">
        <v>111</v>
      </c>
      <c r="Q51" s="1168" t="s">
        <v>431</v>
      </c>
      <c r="R51" s="1168" t="s">
        <v>431</v>
      </c>
      <c r="S51" s="1168" t="s">
        <v>431</v>
      </c>
      <c r="T51" s="1169">
        <v>100</v>
      </c>
      <c r="U51" s="1170" t="s">
        <v>431</v>
      </c>
    </row>
    <row r="52" spans="1:21" ht="17.25" customHeight="1">
      <c r="A52" s="1121" t="s">
        <v>921</v>
      </c>
      <c r="B52" s="477">
        <v>128</v>
      </c>
      <c r="C52" s="1168">
        <v>127</v>
      </c>
      <c r="D52" s="1168">
        <v>110</v>
      </c>
      <c r="E52" s="1168">
        <v>8</v>
      </c>
      <c r="F52" s="1168">
        <v>9</v>
      </c>
      <c r="G52" s="1168" t="s">
        <v>431</v>
      </c>
      <c r="H52" s="1168" t="s">
        <v>431</v>
      </c>
      <c r="I52" s="1168" t="s">
        <v>431</v>
      </c>
      <c r="J52" s="1168" t="s">
        <v>431</v>
      </c>
      <c r="K52" s="1168">
        <v>1</v>
      </c>
      <c r="L52" s="1168" t="s">
        <v>431</v>
      </c>
      <c r="M52" s="1168">
        <v>6</v>
      </c>
      <c r="N52" s="1168" t="s">
        <v>431</v>
      </c>
      <c r="O52" s="1168" t="s">
        <v>431</v>
      </c>
      <c r="P52" s="1168">
        <v>118</v>
      </c>
      <c r="Q52" s="1168" t="s">
        <v>431</v>
      </c>
      <c r="R52" s="1168" t="s">
        <v>431</v>
      </c>
      <c r="S52" s="1168" t="s">
        <v>431</v>
      </c>
      <c r="T52" s="1169">
        <v>99.21875</v>
      </c>
      <c r="U52" s="1170" t="s">
        <v>431</v>
      </c>
    </row>
    <row r="53" spans="1:21" ht="17.25" customHeight="1">
      <c r="A53" s="1163" t="s">
        <v>934</v>
      </c>
      <c r="B53" s="1164">
        <v>213</v>
      </c>
      <c r="C53" s="1165">
        <f>+SUM(C54:C55)</f>
        <v>212</v>
      </c>
      <c r="D53" s="1165">
        <f t="shared" ref="D53:S53" si="1">+SUM(D54:D55)</f>
        <v>192</v>
      </c>
      <c r="E53" s="1165">
        <f t="shared" si="1"/>
        <v>4</v>
      </c>
      <c r="F53" s="1165">
        <f t="shared" si="1"/>
        <v>12</v>
      </c>
      <c r="G53" s="1165">
        <f t="shared" si="1"/>
        <v>2</v>
      </c>
      <c r="H53" s="1165">
        <f t="shared" si="1"/>
        <v>2</v>
      </c>
      <c r="I53" s="1165" t="s">
        <v>305</v>
      </c>
      <c r="J53" s="1165" t="s">
        <v>305</v>
      </c>
      <c r="K53" s="1165">
        <f t="shared" si="1"/>
        <v>1</v>
      </c>
      <c r="L53" s="1165" t="s">
        <v>305</v>
      </c>
      <c r="M53" s="1165">
        <f t="shared" si="1"/>
        <v>8</v>
      </c>
      <c r="N53" s="1165" t="s">
        <v>305</v>
      </c>
      <c r="O53" s="1165" t="s">
        <v>305</v>
      </c>
      <c r="P53" s="1165">
        <f t="shared" si="1"/>
        <v>196</v>
      </c>
      <c r="Q53" s="1165">
        <f t="shared" si="1"/>
        <v>2</v>
      </c>
      <c r="R53" s="1165" t="s">
        <v>305</v>
      </c>
      <c r="S53" s="1165">
        <f t="shared" si="1"/>
        <v>2</v>
      </c>
      <c r="T53" s="1166">
        <f>+IFERROR(ROUND(C53/B53*100,1),"")</f>
        <v>99.5</v>
      </c>
      <c r="U53" s="1167" t="s">
        <v>305</v>
      </c>
    </row>
    <row r="54" spans="1:21" ht="17.25" customHeight="1">
      <c r="A54" s="1121" t="s">
        <v>920</v>
      </c>
      <c r="B54" s="477">
        <v>112</v>
      </c>
      <c r="C54" s="1168">
        <f>+SUM(D54:H54)</f>
        <v>112</v>
      </c>
      <c r="D54" s="1168">
        <v>103</v>
      </c>
      <c r="E54" s="1168">
        <v>1</v>
      </c>
      <c r="F54" s="1168">
        <v>5</v>
      </c>
      <c r="G54" s="1168">
        <v>2</v>
      </c>
      <c r="H54" s="1168">
        <v>1</v>
      </c>
      <c r="I54" s="1168" t="s">
        <v>305</v>
      </c>
      <c r="J54" s="1168" t="s">
        <v>305</v>
      </c>
      <c r="K54" s="1168" t="s">
        <v>305</v>
      </c>
      <c r="L54" s="1168" t="s">
        <v>305</v>
      </c>
      <c r="M54" s="1168">
        <v>7</v>
      </c>
      <c r="N54" s="1168" t="s">
        <v>305</v>
      </c>
      <c r="O54" s="1168" t="s">
        <v>305</v>
      </c>
      <c r="P54" s="1168">
        <v>104</v>
      </c>
      <c r="Q54" s="1168">
        <v>2</v>
      </c>
      <c r="R54" s="1168" t="s">
        <v>305</v>
      </c>
      <c r="S54" s="1168">
        <v>1</v>
      </c>
      <c r="T54" s="1169">
        <f>+IFERROR(ROUND(C54/B54*100,1),"")</f>
        <v>100</v>
      </c>
      <c r="U54" s="1170" t="s">
        <v>305</v>
      </c>
    </row>
    <row r="55" spans="1:21" ht="17.25" customHeight="1">
      <c r="A55" s="1119" t="s">
        <v>921</v>
      </c>
      <c r="B55" s="1570">
        <v>101</v>
      </c>
      <c r="C55" s="1572">
        <f>+SUM(D55:H55)</f>
        <v>100</v>
      </c>
      <c r="D55" s="1572">
        <v>89</v>
      </c>
      <c r="E55" s="1572">
        <v>3</v>
      </c>
      <c r="F55" s="1572">
        <v>7</v>
      </c>
      <c r="G55" s="1572" t="s">
        <v>305</v>
      </c>
      <c r="H55" s="1572">
        <v>1</v>
      </c>
      <c r="I55" s="1572" t="s">
        <v>305</v>
      </c>
      <c r="J55" s="1572" t="s">
        <v>305</v>
      </c>
      <c r="K55" s="1572">
        <v>1</v>
      </c>
      <c r="L55" s="1572" t="s">
        <v>305</v>
      </c>
      <c r="M55" s="1572">
        <v>1</v>
      </c>
      <c r="N55" s="1572" t="s">
        <v>305</v>
      </c>
      <c r="O55" s="1572" t="s">
        <v>305</v>
      </c>
      <c r="P55" s="1572">
        <v>92</v>
      </c>
      <c r="Q55" s="1572" t="s">
        <v>305</v>
      </c>
      <c r="R55" s="1572" t="s">
        <v>305</v>
      </c>
      <c r="S55" s="1572">
        <v>1</v>
      </c>
      <c r="T55" s="1575">
        <f>+IFERROR(ROUND(C55/B55*100,1),"")</f>
        <v>99</v>
      </c>
      <c r="U55" s="1576" t="s">
        <v>305</v>
      </c>
    </row>
    <row r="56" spans="1:21" ht="17.25" customHeight="1">
      <c r="A56" s="1163" t="s">
        <v>935</v>
      </c>
      <c r="B56" s="1164">
        <v>204</v>
      </c>
      <c r="C56" s="1165">
        <v>204</v>
      </c>
      <c r="D56" s="1165">
        <v>181</v>
      </c>
      <c r="E56" s="1165">
        <v>8</v>
      </c>
      <c r="F56" s="1165">
        <v>10</v>
      </c>
      <c r="G56" s="1165">
        <v>2</v>
      </c>
      <c r="H56" s="1165">
        <v>3</v>
      </c>
      <c r="I56" s="1165" t="s">
        <v>431</v>
      </c>
      <c r="J56" s="1165" t="s">
        <v>431</v>
      </c>
      <c r="K56" s="1165" t="s">
        <v>431</v>
      </c>
      <c r="L56" s="1165" t="s">
        <v>431</v>
      </c>
      <c r="M56" s="1165">
        <v>8</v>
      </c>
      <c r="N56" s="1165" t="s">
        <v>431</v>
      </c>
      <c r="O56" s="1165" t="s">
        <v>431</v>
      </c>
      <c r="P56" s="1165">
        <v>189</v>
      </c>
      <c r="Q56" s="1165">
        <v>2</v>
      </c>
      <c r="R56" s="1165" t="s">
        <v>431</v>
      </c>
      <c r="S56" s="1165">
        <v>3</v>
      </c>
      <c r="T56" s="1166">
        <v>100</v>
      </c>
      <c r="U56" s="1167" t="s">
        <v>431</v>
      </c>
    </row>
    <row r="57" spans="1:21" ht="17.25" customHeight="1">
      <c r="A57" s="1121" t="s">
        <v>920</v>
      </c>
      <c r="B57" s="477">
        <v>91</v>
      </c>
      <c r="C57" s="1168">
        <v>91</v>
      </c>
      <c r="D57" s="1168">
        <v>83</v>
      </c>
      <c r="E57" s="1168">
        <v>3</v>
      </c>
      <c r="F57" s="1168">
        <v>2</v>
      </c>
      <c r="G57" s="1168">
        <v>2</v>
      </c>
      <c r="H57" s="1168">
        <v>1</v>
      </c>
      <c r="I57" s="1168" t="s">
        <v>431</v>
      </c>
      <c r="J57" s="1168" t="s">
        <v>431</v>
      </c>
      <c r="K57" s="1168" t="s">
        <v>431</v>
      </c>
      <c r="L57" s="1168" t="s">
        <v>431</v>
      </c>
      <c r="M57" s="1168">
        <v>3</v>
      </c>
      <c r="N57" s="1168" t="s">
        <v>431</v>
      </c>
      <c r="O57" s="1168" t="s">
        <v>431</v>
      </c>
      <c r="P57" s="1168">
        <v>86</v>
      </c>
      <c r="Q57" s="1168">
        <v>2</v>
      </c>
      <c r="R57" s="1168" t="s">
        <v>431</v>
      </c>
      <c r="S57" s="1168">
        <v>1</v>
      </c>
      <c r="T57" s="1169">
        <v>100</v>
      </c>
      <c r="U57" s="1170" t="s">
        <v>431</v>
      </c>
    </row>
    <row r="58" spans="1:21" ht="17.25" customHeight="1">
      <c r="A58" s="1119" t="s">
        <v>921</v>
      </c>
      <c r="B58" s="1570">
        <v>113</v>
      </c>
      <c r="C58" s="1572">
        <v>113</v>
      </c>
      <c r="D58" s="1572">
        <v>98</v>
      </c>
      <c r="E58" s="1572">
        <v>5</v>
      </c>
      <c r="F58" s="1572">
        <v>8</v>
      </c>
      <c r="G58" s="1572" t="s">
        <v>431</v>
      </c>
      <c r="H58" s="1572">
        <v>2</v>
      </c>
      <c r="I58" s="1572" t="s">
        <v>431</v>
      </c>
      <c r="J58" s="1572" t="s">
        <v>431</v>
      </c>
      <c r="K58" s="1572" t="s">
        <v>431</v>
      </c>
      <c r="L58" s="1572" t="s">
        <v>431</v>
      </c>
      <c r="M58" s="1572">
        <v>5</v>
      </c>
      <c r="N58" s="1572" t="s">
        <v>431</v>
      </c>
      <c r="O58" s="1572" t="s">
        <v>431</v>
      </c>
      <c r="P58" s="1572">
        <v>103</v>
      </c>
      <c r="Q58" s="1572" t="s">
        <v>431</v>
      </c>
      <c r="R58" s="1572" t="s">
        <v>431</v>
      </c>
      <c r="S58" s="1572">
        <v>2</v>
      </c>
      <c r="T58" s="1575">
        <v>100</v>
      </c>
      <c r="U58" s="1576" t="s">
        <v>431</v>
      </c>
    </row>
    <row r="59" spans="1:21" ht="17.25" customHeight="1">
      <c r="A59" s="1163" t="s">
        <v>936</v>
      </c>
      <c r="B59" s="1164">
        <v>206</v>
      </c>
      <c r="C59" s="1165">
        <v>202</v>
      </c>
      <c r="D59" s="1165">
        <v>185</v>
      </c>
      <c r="E59" s="1165">
        <v>7</v>
      </c>
      <c r="F59" s="1165">
        <v>8</v>
      </c>
      <c r="G59" s="1165" t="s">
        <v>431</v>
      </c>
      <c r="H59" s="1165">
        <v>2</v>
      </c>
      <c r="I59" s="1165">
        <v>1</v>
      </c>
      <c r="J59" s="1165" t="s">
        <v>431</v>
      </c>
      <c r="K59" s="1165">
        <v>3</v>
      </c>
      <c r="L59" s="1165" t="s">
        <v>431</v>
      </c>
      <c r="M59" s="1165">
        <v>6</v>
      </c>
      <c r="N59" s="1165" t="s">
        <v>431</v>
      </c>
      <c r="O59" s="1165" t="s">
        <v>431</v>
      </c>
      <c r="P59" s="1165">
        <v>202</v>
      </c>
      <c r="Q59" s="1165" t="s">
        <v>431</v>
      </c>
      <c r="R59" s="1165" t="s">
        <v>431</v>
      </c>
      <c r="S59" s="1165">
        <v>2</v>
      </c>
      <c r="T59" s="1166">
        <v>98.1</v>
      </c>
      <c r="U59" s="1167" t="s">
        <v>431</v>
      </c>
    </row>
    <row r="60" spans="1:21" ht="17.25" customHeight="1">
      <c r="A60" s="1121" t="s">
        <v>920</v>
      </c>
      <c r="B60" s="477">
        <v>117</v>
      </c>
      <c r="C60" s="1168">
        <v>114</v>
      </c>
      <c r="D60" s="1168">
        <v>104</v>
      </c>
      <c r="E60" s="1168">
        <v>4</v>
      </c>
      <c r="F60" s="1168">
        <v>4</v>
      </c>
      <c r="G60" s="1168" t="s">
        <v>431</v>
      </c>
      <c r="H60" s="1168">
        <v>2</v>
      </c>
      <c r="I60" s="1168" t="s">
        <v>431</v>
      </c>
      <c r="J60" s="1168" t="s">
        <v>431</v>
      </c>
      <c r="K60" s="1168">
        <v>3</v>
      </c>
      <c r="L60" s="1168" t="s">
        <v>431</v>
      </c>
      <c r="M60" s="1168">
        <v>2</v>
      </c>
      <c r="N60" s="1168" t="s">
        <v>431</v>
      </c>
      <c r="O60" s="1168" t="s">
        <v>431</v>
      </c>
      <c r="P60" s="1168">
        <v>114</v>
      </c>
      <c r="Q60" s="1168" t="s">
        <v>2921</v>
      </c>
      <c r="R60" s="1168" t="s">
        <v>431</v>
      </c>
      <c r="S60" s="1168" t="s">
        <v>431</v>
      </c>
      <c r="T60" s="1169">
        <v>97.4</v>
      </c>
      <c r="U60" s="1170" t="s">
        <v>431</v>
      </c>
    </row>
    <row r="61" spans="1:21" ht="17.25" customHeight="1">
      <c r="A61" s="1119" t="s">
        <v>921</v>
      </c>
      <c r="B61" s="1570">
        <v>89</v>
      </c>
      <c r="C61" s="1572">
        <v>88</v>
      </c>
      <c r="D61" s="1572">
        <v>81</v>
      </c>
      <c r="E61" s="1572">
        <v>3</v>
      </c>
      <c r="F61" s="1572">
        <v>4</v>
      </c>
      <c r="G61" s="1572" t="s">
        <v>431</v>
      </c>
      <c r="H61" s="1572"/>
      <c r="I61" s="1572">
        <v>1</v>
      </c>
      <c r="J61" s="1572" t="s">
        <v>431</v>
      </c>
      <c r="K61" s="1572" t="s">
        <v>431</v>
      </c>
      <c r="L61" s="1572" t="s">
        <v>431</v>
      </c>
      <c r="M61" s="1572">
        <v>4</v>
      </c>
      <c r="N61" s="1572" t="s">
        <v>2921</v>
      </c>
      <c r="O61" s="1572" t="s">
        <v>431</v>
      </c>
      <c r="P61" s="1572">
        <v>88</v>
      </c>
      <c r="Q61" s="1572" t="s">
        <v>431</v>
      </c>
      <c r="R61" s="1572" t="s">
        <v>431</v>
      </c>
      <c r="S61" s="1572" t="s">
        <v>431</v>
      </c>
      <c r="T61" s="1575">
        <v>98.9</v>
      </c>
      <c r="U61" s="1576" t="s">
        <v>431</v>
      </c>
    </row>
    <row r="62" spans="1:21" ht="17.25" customHeight="1">
      <c r="A62" s="1163" t="s">
        <v>937</v>
      </c>
      <c r="B62" s="1164">
        <v>211</v>
      </c>
      <c r="C62" s="1165">
        <v>209</v>
      </c>
      <c r="D62" s="1165">
        <v>182</v>
      </c>
      <c r="E62" s="1165">
        <v>8</v>
      </c>
      <c r="F62" s="1165">
        <v>13</v>
      </c>
      <c r="G62" s="1165">
        <v>3</v>
      </c>
      <c r="H62" s="1165">
        <v>3</v>
      </c>
      <c r="I62" s="1165" t="s">
        <v>431</v>
      </c>
      <c r="J62" s="1165" t="s">
        <v>431</v>
      </c>
      <c r="K62" s="1165">
        <v>2</v>
      </c>
      <c r="L62" s="1165" t="s">
        <v>431</v>
      </c>
      <c r="M62" s="1165">
        <v>10</v>
      </c>
      <c r="N62" s="1165" t="s">
        <v>431</v>
      </c>
      <c r="O62" s="1165" t="s">
        <v>431</v>
      </c>
      <c r="P62" s="1165">
        <v>191</v>
      </c>
      <c r="Q62" s="1165">
        <v>3</v>
      </c>
      <c r="R62" s="1165" t="s">
        <v>431</v>
      </c>
      <c r="S62" s="1165">
        <v>3</v>
      </c>
      <c r="T62" s="1166">
        <v>99.1</v>
      </c>
      <c r="U62" s="1167" t="s">
        <v>2921</v>
      </c>
    </row>
    <row r="63" spans="1:21" ht="17.25" customHeight="1">
      <c r="A63" s="1121" t="s">
        <v>920</v>
      </c>
      <c r="B63" s="477">
        <v>117</v>
      </c>
      <c r="C63" s="1168">
        <v>115</v>
      </c>
      <c r="D63" s="1168">
        <v>101</v>
      </c>
      <c r="E63" s="1168">
        <v>5</v>
      </c>
      <c r="F63" s="1168">
        <v>4</v>
      </c>
      <c r="G63" s="1168">
        <v>3</v>
      </c>
      <c r="H63" s="1168">
        <v>2</v>
      </c>
      <c r="I63" s="1168" t="s">
        <v>431</v>
      </c>
      <c r="J63" s="1168" t="s">
        <v>431</v>
      </c>
      <c r="K63" s="1168">
        <v>2</v>
      </c>
      <c r="L63" s="1168" t="s">
        <v>431</v>
      </c>
      <c r="M63" s="1168">
        <v>6</v>
      </c>
      <c r="N63" s="1168" t="s">
        <v>431</v>
      </c>
      <c r="O63" s="1168" t="s">
        <v>431</v>
      </c>
      <c r="P63" s="1168">
        <v>107</v>
      </c>
      <c r="Q63" s="1168">
        <v>3</v>
      </c>
      <c r="R63" s="1168" t="s">
        <v>431</v>
      </c>
      <c r="S63" s="1168">
        <v>2</v>
      </c>
      <c r="T63" s="1169">
        <v>98.3</v>
      </c>
      <c r="U63" s="1170" t="s">
        <v>431</v>
      </c>
    </row>
    <row r="64" spans="1:21" ht="17.25" customHeight="1">
      <c r="A64" s="1119" t="s">
        <v>921</v>
      </c>
      <c r="B64" s="1570">
        <v>94</v>
      </c>
      <c r="C64" s="1572">
        <v>94</v>
      </c>
      <c r="D64" s="1572">
        <v>81</v>
      </c>
      <c r="E64" s="1572">
        <v>3</v>
      </c>
      <c r="F64" s="1572">
        <v>9</v>
      </c>
      <c r="G64" s="1572" t="s">
        <v>431</v>
      </c>
      <c r="H64" s="1572">
        <v>1</v>
      </c>
      <c r="I64" s="1572" t="s">
        <v>431</v>
      </c>
      <c r="J64" s="1572" t="s">
        <v>431</v>
      </c>
      <c r="K64" s="1572" t="s">
        <v>2921</v>
      </c>
      <c r="L64" s="1572" t="s">
        <v>431</v>
      </c>
      <c r="M64" s="1572">
        <v>4</v>
      </c>
      <c r="N64" s="1572" t="s">
        <v>431</v>
      </c>
      <c r="O64" s="1572" t="s">
        <v>431</v>
      </c>
      <c r="P64" s="1572">
        <v>84</v>
      </c>
      <c r="Q64" s="1572" t="s">
        <v>431</v>
      </c>
      <c r="R64" s="1572" t="s">
        <v>431</v>
      </c>
      <c r="S64" s="1572">
        <v>1</v>
      </c>
      <c r="T64" s="1575">
        <v>100</v>
      </c>
      <c r="U64" s="1576" t="s">
        <v>431</v>
      </c>
    </row>
    <row r="65" spans="1:21" ht="17.25" customHeight="1">
      <c r="A65" s="1163"/>
      <c r="B65" s="1164"/>
      <c r="C65" s="1165"/>
      <c r="D65" s="1165"/>
      <c r="E65" s="1165"/>
      <c r="F65" s="1165"/>
      <c r="G65" s="1165"/>
      <c r="H65" s="1165"/>
      <c r="I65" s="1165"/>
      <c r="J65" s="1165"/>
      <c r="K65" s="1165"/>
      <c r="L65" s="1165"/>
      <c r="M65" s="1165"/>
      <c r="N65" s="1165"/>
      <c r="O65" s="1165"/>
      <c r="P65" s="1165"/>
      <c r="Q65" s="1165"/>
      <c r="R65" s="1165"/>
      <c r="S65" s="1165"/>
      <c r="T65" s="1166"/>
      <c r="U65" s="1167"/>
    </row>
    <row r="66" spans="1:21" ht="17.25" customHeight="1">
      <c r="A66" s="1121"/>
      <c r="B66" s="477"/>
      <c r="C66" s="1168"/>
      <c r="D66" s="1168"/>
      <c r="E66" s="1168"/>
      <c r="F66" s="1168"/>
      <c r="G66" s="1168"/>
      <c r="H66" s="1168"/>
      <c r="I66" s="1168"/>
      <c r="J66" s="1168"/>
      <c r="K66" s="1168"/>
      <c r="L66" s="1168"/>
      <c r="M66" s="1168"/>
      <c r="N66" s="1168"/>
      <c r="O66" s="1168"/>
      <c r="P66" s="1168"/>
      <c r="Q66" s="1168"/>
      <c r="R66" s="1168"/>
      <c r="S66" s="1168"/>
      <c r="T66" s="1169"/>
      <c r="U66" s="1170"/>
    </row>
    <row r="67" spans="1:21" ht="17.25" customHeight="1" thickBot="1">
      <c r="A67" s="1120"/>
      <c r="B67" s="1155"/>
      <c r="C67" s="1122"/>
      <c r="D67" s="1122"/>
      <c r="E67" s="1122"/>
      <c r="F67" s="1122"/>
      <c r="G67" s="1122"/>
      <c r="H67" s="1122"/>
      <c r="I67" s="1122"/>
      <c r="J67" s="1122"/>
      <c r="K67" s="1122"/>
      <c r="L67" s="1122"/>
      <c r="M67" s="1122"/>
      <c r="N67" s="1122"/>
      <c r="O67" s="1122"/>
      <c r="P67" s="1122"/>
      <c r="Q67" s="1122"/>
      <c r="R67" s="1122"/>
      <c r="S67" s="1122"/>
      <c r="T67" s="1123"/>
      <c r="U67" s="1171"/>
    </row>
    <row r="68" spans="1:21" ht="17.25" customHeight="1">
      <c r="A68" s="171" t="s">
        <v>938</v>
      </c>
    </row>
    <row r="69" spans="1:21" ht="15.75" customHeight="1"/>
    <row r="70" spans="1:21" ht="15.75" customHeight="1"/>
  </sheetData>
  <mergeCells count="12">
    <mergeCell ref="U2:U3"/>
    <mergeCell ref="A2:A3"/>
    <mergeCell ref="B2:B3"/>
    <mergeCell ref="C2:H2"/>
    <mergeCell ref="I2:I3"/>
    <mergeCell ref="J2:J3"/>
    <mergeCell ref="K2:K3"/>
    <mergeCell ref="L2:L3"/>
    <mergeCell ref="M2:M3"/>
    <mergeCell ref="N2:O2"/>
    <mergeCell ref="P2:S2"/>
    <mergeCell ref="T2:T3"/>
  </mergeCells>
  <phoneticPr fontId="4"/>
  <printOptions horizontalCentered="1"/>
  <pageMargins left="0.98425196850393704" right="0.98425196850393704" top="0.98425196850393704" bottom="0.98425196850393704" header="0.51181102362204722" footer="0.51181102362204722"/>
  <pageSetup paperSize="9" scale="67" fitToHeight="0"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4C9B5-FD40-4DE6-8E9A-DECF3FD9E784}">
  <sheetPr codeName="Sheet43"/>
  <dimension ref="A1:Q66"/>
  <sheetViews>
    <sheetView showGridLines="0" view="pageBreakPreview" zoomScale="60" zoomScaleNormal="100" workbookViewId="0">
      <pane xSplit="1" ySplit="4" topLeftCell="B8" activePane="bottomRight" state="frozen"/>
      <selection activeCell="C3" sqref="C3"/>
      <selection pane="topRight" activeCell="C3" sqref="C3"/>
      <selection pane="bottomLeft" activeCell="C3" sqref="C3"/>
      <selection pane="bottomRight"/>
    </sheetView>
  </sheetViews>
  <sheetFormatPr defaultRowHeight="13.2"/>
  <cols>
    <col min="1" max="1" width="9.59765625" style="30" customWidth="1"/>
    <col min="2" max="6" width="4.59765625" style="30" customWidth="1"/>
    <col min="7" max="8" width="5.59765625" style="30" customWidth="1"/>
    <col min="9" max="10" width="4.59765625" style="30" customWidth="1"/>
    <col min="11" max="11" width="5.59765625" style="30" customWidth="1"/>
    <col min="12" max="15" width="4.59765625" style="30" customWidth="1"/>
    <col min="16" max="17" width="5.59765625" style="30" customWidth="1"/>
    <col min="18" max="256" width="9" style="30"/>
    <col min="257" max="257" width="9.59765625" style="30" customWidth="1"/>
    <col min="258" max="262" width="4.59765625" style="30" customWidth="1"/>
    <col min="263" max="264" width="5.59765625" style="30" customWidth="1"/>
    <col min="265" max="266" width="4.59765625" style="30" customWidth="1"/>
    <col min="267" max="267" width="5.59765625" style="30" customWidth="1"/>
    <col min="268" max="271" width="4.59765625" style="30" customWidth="1"/>
    <col min="272" max="273" width="5.59765625" style="30" customWidth="1"/>
    <col min="274" max="512" width="9" style="30"/>
    <col min="513" max="513" width="9.59765625" style="30" customWidth="1"/>
    <col min="514" max="518" width="4.59765625" style="30" customWidth="1"/>
    <col min="519" max="520" width="5.59765625" style="30" customWidth="1"/>
    <col min="521" max="522" width="4.59765625" style="30" customWidth="1"/>
    <col min="523" max="523" width="5.59765625" style="30" customWidth="1"/>
    <col min="524" max="527" width="4.59765625" style="30" customWidth="1"/>
    <col min="528" max="529" width="5.59765625" style="30" customWidth="1"/>
    <col min="530" max="768" width="9" style="30"/>
    <col min="769" max="769" width="9.59765625" style="30" customWidth="1"/>
    <col min="770" max="774" width="4.59765625" style="30" customWidth="1"/>
    <col min="775" max="776" width="5.59765625" style="30" customWidth="1"/>
    <col min="777" max="778" width="4.59765625" style="30" customWidth="1"/>
    <col min="779" max="779" width="5.59765625" style="30" customWidth="1"/>
    <col min="780" max="783" width="4.59765625" style="30" customWidth="1"/>
    <col min="784" max="785" width="5.59765625" style="30" customWidth="1"/>
    <col min="786" max="1024" width="9" style="30"/>
    <col min="1025" max="1025" width="9.59765625" style="30" customWidth="1"/>
    <col min="1026" max="1030" width="4.59765625" style="30" customWidth="1"/>
    <col min="1031" max="1032" width="5.59765625" style="30" customWidth="1"/>
    <col min="1033" max="1034" width="4.59765625" style="30" customWidth="1"/>
    <col min="1035" max="1035" width="5.59765625" style="30" customWidth="1"/>
    <col min="1036" max="1039" width="4.59765625" style="30" customWidth="1"/>
    <col min="1040" max="1041" width="5.59765625" style="30" customWidth="1"/>
    <col min="1042" max="1280" width="9" style="30"/>
    <col min="1281" max="1281" width="9.59765625" style="30" customWidth="1"/>
    <col min="1282" max="1286" width="4.59765625" style="30" customWidth="1"/>
    <col min="1287" max="1288" width="5.59765625" style="30" customWidth="1"/>
    <col min="1289" max="1290" width="4.59765625" style="30" customWidth="1"/>
    <col min="1291" max="1291" width="5.59765625" style="30" customWidth="1"/>
    <col min="1292" max="1295" width="4.59765625" style="30" customWidth="1"/>
    <col min="1296" max="1297" width="5.59765625" style="30" customWidth="1"/>
    <col min="1298" max="1536" width="9" style="30"/>
    <col min="1537" max="1537" width="9.59765625" style="30" customWidth="1"/>
    <col min="1538" max="1542" width="4.59765625" style="30" customWidth="1"/>
    <col min="1543" max="1544" width="5.59765625" style="30" customWidth="1"/>
    <col min="1545" max="1546" width="4.59765625" style="30" customWidth="1"/>
    <col min="1547" max="1547" width="5.59765625" style="30" customWidth="1"/>
    <col min="1548" max="1551" width="4.59765625" style="30" customWidth="1"/>
    <col min="1552" max="1553" width="5.59765625" style="30" customWidth="1"/>
    <col min="1554" max="1792" width="9" style="30"/>
    <col min="1793" max="1793" width="9.59765625" style="30" customWidth="1"/>
    <col min="1794" max="1798" width="4.59765625" style="30" customWidth="1"/>
    <col min="1799" max="1800" width="5.59765625" style="30" customWidth="1"/>
    <col min="1801" max="1802" width="4.59765625" style="30" customWidth="1"/>
    <col min="1803" max="1803" width="5.59765625" style="30" customWidth="1"/>
    <col min="1804" max="1807" width="4.59765625" style="30" customWidth="1"/>
    <col min="1808" max="1809" width="5.59765625" style="30" customWidth="1"/>
    <col min="1810" max="2048" width="9" style="30"/>
    <col min="2049" max="2049" width="9.59765625" style="30" customWidth="1"/>
    <col min="2050" max="2054" width="4.59765625" style="30" customWidth="1"/>
    <col min="2055" max="2056" width="5.59765625" style="30" customWidth="1"/>
    <col min="2057" max="2058" width="4.59765625" style="30" customWidth="1"/>
    <col min="2059" max="2059" width="5.59765625" style="30" customWidth="1"/>
    <col min="2060" max="2063" width="4.59765625" style="30" customWidth="1"/>
    <col min="2064" max="2065" width="5.59765625" style="30" customWidth="1"/>
    <col min="2066" max="2304" width="9" style="30"/>
    <col min="2305" max="2305" width="9.59765625" style="30" customWidth="1"/>
    <col min="2306" max="2310" width="4.59765625" style="30" customWidth="1"/>
    <col min="2311" max="2312" width="5.59765625" style="30" customWidth="1"/>
    <col min="2313" max="2314" width="4.59765625" style="30" customWidth="1"/>
    <col min="2315" max="2315" width="5.59765625" style="30" customWidth="1"/>
    <col min="2316" max="2319" width="4.59765625" style="30" customWidth="1"/>
    <col min="2320" max="2321" width="5.59765625" style="30" customWidth="1"/>
    <col min="2322" max="2560" width="9" style="30"/>
    <col min="2561" max="2561" width="9.59765625" style="30" customWidth="1"/>
    <col min="2562" max="2566" width="4.59765625" style="30" customWidth="1"/>
    <col min="2567" max="2568" width="5.59765625" style="30" customWidth="1"/>
    <col min="2569" max="2570" width="4.59765625" style="30" customWidth="1"/>
    <col min="2571" max="2571" width="5.59765625" style="30" customWidth="1"/>
    <col min="2572" max="2575" width="4.59765625" style="30" customWidth="1"/>
    <col min="2576" max="2577" width="5.59765625" style="30" customWidth="1"/>
    <col min="2578" max="2816" width="9" style="30"/>
    <col min="2817" max="2817" width="9.59765625" style="30" customWidth="1"/>
    <col min="2818" max="2822" width="4.59765625" style="30" customWidth="1"/>
    <col min="2823" max="2824" width="5.59765625" style="30" customWidth="1"/>
    <col min="2825" max="2826" width="4.59765625" style="30" customWidth="1"/>
    <col min="2827" max="2827" width="5.59765625" style="30" customWidth="1"/>
    <col min="2828" max="2831" width="4.59765625" style="30" customWidth="1"/>
    <col min="2832" max="2833" width="5.59765625" style="30" customWidth="1"/>
    <col min="2834" max="3072" width="9" style="30"/>
    <col min="3073" max="3073" width="9.59765625" style="30" customWidth="1"/>
    <col min="3074" max="3078" width="4.59765625" style="30" customWidth="1"/>
    <col min="3079" max="3080" width="5.59765625" style="30" customWidth="1"/>
    <col min="3081" max="3082" width="4.59765625" style="30" customWidth="1"/>
    <col min="3083" max="3083" width="5.59765625" style="30" customWidth="1"/>
    <col min="3084" max="3087" width="4.59765625" style="30" customWidth="1"/>
    <col min="3088" max="3089" width="5.59765625" style="30" customWidth="1"/>
    <col min="3090" max="3328" width="9" style="30"/>
    <col min="3329" max="3329" width="9.59765625" style="30" customWidth="1"/>
    <col min="3330" max="3334" width="4.59765625" style="30" customWidth="1"/>
    <col min="3335" max="3336" width="5.59765625" style="30" customWidth="1"/>
    <col min="3337" max="3338" width="4.59765625" style="30" customWidth="1"/>
    <col min="3339" max="3339" width="5.59765625" style="30" customWidth="1"/>
    <col min="3340" max="3343" width="4.59765625" style="30" customWidth="1"/>
    <col min="3344" max="3345" width="5.59765625" style="30" customWidth="1"/>
    <col min="3346" max="3584" width="9" style="30"/>
    <col min="3585" max="3585" width="9.59765625" style="30" customWidth="1"/>
    <col min="3586" max="3590" width="4.59765625" style="30" customWidth="1"/>
    <col min="3591" max="3592" width="5.59765625" style="30" customWidth="1"/>
    <col min="3593" max="3594" width="4.59765625" style="30" customWidth="1"/>
    <col min="3595" max="3595" width="5.59765625" style="30" customWidth="1"/>
    <col min="3596" max="3599" width="4.59765625" style="30" customWidth="1"/>
    <col min="3600" max="3601" width="5.59765625" style="30" customWidth="1"/>
    <col min="3602" max="3840" width="9" style="30"/>
    <col min="3841" max="3841" width="9.59765625" style="30" customWidth="1"/>
    <col min="3842" max="3846" width="4.59765625" style="30" customWidth="1"/>
    <col min="3847" max="3848" width="5.59765625" style="30" customWidth="1"/>
    <col min="3849" max="3850" width="4.59765625" style="30" customWidth="1"/>
    <col min="3851" max="3851" width="5.59765625" style="30" customWidth="1"/>
    <col min="3852" max="3855" width="4.59765625" style="30" customWidth="1"/>
    <col min="3856" max="3857" width="5.59765625" style="30" customWidth="1"/>
    <col min="3858" max="4096" width="9" style="30"/>
    <col min="4097" max="4097" width="9.59765625" style="30" customWidth="1"/>
    <col min="4098" max="4102" width="4.59765625" style="30" customWidth="1"/>
    <col min="4103" max="4104" width="5.59765625" style="30" customWidth="1"/>
    <col min="4105" max="4106" width="4.59765625" style="30" customWidth="1"/>
    <col min="4107" max="4107" width="5.59765625" style="30" customWidth="1"/>
    <col min="4108" max="4111" width="4.59765625" style="30" customWidth="1"/>
    <col min="4112" max="4113" width="5.59765625" style="30" customWidth="1"/>
    <col min="4114" max="4352" width="9" style="30"/>
    <col min="4353" max="4353" width="9.59765625" style="30" customWidth="1"/>
    <col min="4354" max="4358" width="4.59765625" style="30" customWidth="1"/>
    <col min="4359" max="4360" width="5.59765625" style="30" customWidth="1"/>
    <col min="4361" max="4362" width="4.59765625" style="30" customWidth="1"/>
    <col min="4363" max="4363" width="5.59765625" style="30" customWidth="1"/>
    <col min="4364" max="4367" width="4.59765625" style="30" customWidth="1"/>
    <col min="4368" max="4369" width="5.59765625" style="30" customWidth="1"/>
    <col min="4370" max="4608" width="9" style="30"/>
    <col min="4609" max="4609" width="9.59765625" style="30" customWidth="1"/>
    <col min="4610" max="4614" width="4.59765625" style="30" customWidth="1"/>
    <col min="4615" max="4616" width="5.59765625" style="30" customWidth="1"/>
    <col min="4617" max="4618" width="4.59765625" style="30" customWidth="1"/>
    <col min="4619" max="4619" width="5.59765625" style="30" customWidth="1"/>
    <col min="4620" max="4623" width="4.59765625" style="30" customWidth="1"/>
    <col min="4624" max="4625" width="5.59765625" style="30" customWidth="1"/>
    <col min="4626" max="4864" width="9" style="30"/>
    <col min="4865" max="4865" width="9.59765625" style="30" customWidth="1"/>
    <col min="4866" max="4870" width="4.59765625" style="30" customWidth="1"/>
    <col min="4871" max="4872" width="5.59765625" style="30" customWidth="1"/>
    <col min="4873" max="4874" width="4.59765625" style="30" customWidth="1"/>
    <col min="4875" max="4875" width="5.59765625" style="30" customWidth="1"/>
    <col min="4876" max="4879" width="4.59765625" style="30" customWidth="1"/>
    <col min="4880" max="4881" width="5.59765625" style="30" customWidth="1"/>
    <col min="4882" max="5120" width="9" style="30"/>
    <col min="5121" max="5121" width="9.59765625" style="30" customWidth="1"/>
    <col min="5122" max="5126" width="4.59765625" style="30" customWidth="1"/>
    <col min="5127" max="5128" width="5.59765625" style="30" customWidth="1"/>
    <col min="5129" max="5130" width="4.59765625" style="30" customWidth="1"/>
    <col min="5131" max="5131" width="5.59765625" style="30" customWidth="1"/>
    <col min="5132" max="5135" width="4.59765625" style="30" customWidth="1"/>
    <col min="5136" max="5137" width="5.59765625" style="30" customWidth="1"/>
    <col min="5138" max="5376" width="9" style="30"/>
    <col min="5377" max="5377" width="9.59765625" style="30" customWidth="1"/>
    <col min="5378" max="5382" width="4.59765625" style="30" customWidth="1"/>
    <col min="5383" max="5384" width="5.59765625" style="30" customWidth="1"/>
    <col min="5385" max="5386" width="4.59765625" style="30" customWidth="1"/>
    <col min="5387" max="5387" width="5.59765625" style="30" customWidth="1"/>
    <col min="5388" max="5391" width="4.59765625" style="30" customWidth="1"/>
    <col min="5392" max="5393" width="5.59765625" style="30" customWidth="1"/>
    <col min="5394" max="5632" width="9" style="30"/>
    <col min="5633" max="5633" width="9.59765625" style="30" customWidth="1"/>
    <col min="5634" max="5638" width="4.59765625" style="30" customWidth="1"/>
    <col min="5639" max="5640" width="5.59765625" style="30" customWidth="1"/>
    <col min="5641" max="5642" width="4.59765625" style="30" customWidth="1"/>
    <col min="5643" max="5643" width="5.59765625" style="30" customWidth="1"/>
    <col min="5644" max="5647" width="4.59765625" style="30" customWidth="1"/>
    <col min="5648" max="5649" width="5.59765625" style="30" customWidth="1"/>
    <col min="5650" max="5888" width="9" style="30"/>
    <col min="5889" max="5889" width="9.59765625" style="30" customWidth="1"/>
    <col min="5890" max="5894" width="4.59765625" style="30" customWidth="1"/>
    <col min="5895" max="5896" width="5.59765625" style="30" customWidth="1"/>
    <col min="5897" max="5898" width="4.59765625" style="30" customWidth="1"/>
    <col min="5899" max="5899" width="5.59765625" style="30" customWidth="1"/>
    <col min="5900" max="5903" width="4.59765625" style="30" customWidth="1"/>
    <col min="5904" max="5905" width="5.59765625" style="30" customWidth="1"/>
    <col min="5906" max="6144" width="9" style="30"/>
    <col min="6145" max="6145" width="9.59765625" style="30" customWidth="1"/>
    <col min="6146" max="6150" width="4.59765625" style="30" customWidth="1"/>
    <col min="6151" max="6152" width="5.59765625" style="30" customWidth="1"/>
    <col min="6153" max="6154" width="4.59765625" style="30" customWidth="1"/>
    <col min="6155" max="6155" width="5.59765625" style="30" customWidth="1"/>
    <col min="6156" max="6159" width="4.59765625" style="30" customWidth="1"/>
    <col min="6160" max="6161" width="5.59765625" style="30" customWidth="1"/>
    <col min="6162" max="6400" width="9" style="30"/>
    <col min="6401" max="6401" width="9.59765625" style="30" customWidth="1"/>
    <col min="6402" max="6406" width="4.59765625" style="30" customWidth="1"/>
    <col min="6407" max="6408" width="5.59765625" style="30" customWidth="1"/>
    <col min="6409" max="6410" width="4.59765625" style="30" customWidth="1"/>
    <col min="6411" max="6411" width="5.59765625" style="30" customWidth="1"/>
    <col min="6412" max="6415" width="4.59765625" style="30" customWidth="1"/>
    <col min="6416" max="6417" width="5.59765625" style="30" customWidth="1"/>
    <col min="6418" max="6656" width="9" style="30"/>
    <col min="6657" max="6657" width="9.59765625" style="30" customWidth="1"/>
    <col min="6658" max="6662" width="4.59765625" style="30" customWidth="1"/>
    <col min="6663" max="6664" width="5.59765625" style="30" customWidth="1"/>
    <col min="6665" max="6666" width="4.59765625" style="30" customWidth="1"/>
    <col min="6667" max="6667" width="5.59765625" style="30" customWidth="1"/>
    <col min="6668" max="6671" width="4.59765625" style="30" customWidth="1"/>
    <col min="6672" max="6673" width="5.59765625" style="30" customWidth="1"/>
    <col min="6674" max="6912" width="9" style="30"/>
    <col min="6913" max="6913" width="9.59765625" style="30" customWidth="1"/>
    <col min="6914" max="6918" width="4.59765625" style="30" customWidth="1"/>
    <col min="6919" max="6920" width="5.59765625" style="30" customWidth="1"/>
    <col min="6921" max="6922" width="4.59765625" style="30" customWidth="1"/>
    <col min="6923" max="6923" width="5.59765625" style="30" customWidth="1"/>
    <col min="6924" max="6927" width="4.59765625" style="30" customWidth="1"/>
    <col min="6928" max="6929" width="5.59765625" style="30" customWidth="1"/>
    <col min="6930" max="7168" width="9" style="30"/>
    <col min="7169" max="7169" width="9.59765625" style="30" customWidth="1"/>
    <col min="7170" max="7174" width="4.59765625" style="30" customWidth="1"/>
    <col min="7175" max="7176" width="5.59765625" style="30" customWidth="1"/>
    <col min="7177" max="7178" width="4.59765625" style="30" customWidth="1"/>
    <col min="7179" max="7179" width="5.59765625" style="30" customWidth="1"/>
    <col min="7180" max="7183" width="4.59765625" style="30" customWidth="1"/>
    <col min="7184" max="7185" width="5.59765625" style="30" customWidth="1"/>
    <col min="7186" max="7424" width="9" style="30"/>
    <col min="7425" max="7425" width="9.59765625" style="30" customWidth="1"/>
    <col min="7426" max="7430" width="4.59765625" style="30" customWidth="1"/>
    <col min="7431" max="7432" width="5.59765625" style="30" customWidth="1"/>
    <col min="7433" max="7434" width="4.59765625" style="30" customWidth="1"/>
    <col min="7435" max="7435" width="5.59765625" style="30" customWidth="1"/>
    <col min="7436" max="7439" width="4.59765625" style="30" customWidth="1"/>
    <col min="7440" max="7441" width="5.59765625" style="30" customWidth="1"/>
    <col min="7442" max="7680" width="9" style="30"/>
    <col min="7681" max="7681" width="9.59765625" style="30" customWidth="1"/>
    <col min="7682" max="7686" width="4.59765625" style="30" customWidth="1"/>
    <col min="7687" max="7688" width="5.59765625" style="30" customWidth="1"/>
    <col min="7689" max="7690" width="4.59765625" style="30" customWidth="1"/>
    <col min="7691" max="7691" width="5.59765625" style="30" customWidth="1"/>
    <col min="7692" max="7695" width="4.59765625" style="30" customWidth="1"/>
    <col min="7696" max="7697" width="5.59765625" style="30" customWidth="1"/>
    <col min="7698" max="7936" width="9" style="30"/>
    <col min="7937" max="7937" width="9.59765625" style="30" customWidth="1"/>
    <col min="7938" max="7942" width="4.59765625" style="30" customWidth="1"/>
    <col min="7943" max="7944" width="5.59765625" style="30" customWidth="1"/>
    <col min="7945" max="7946" width="4.59765625" style="30" customWidth="1"/>
    <col min="7947" max="7947" width="5.59765625" style="30" customWidth="1"/>
    <col min="7948" max="7951" width="4.59765625" style="30" customWidth="1"/>
    <col min="7952" max="7953" width="5.59765625" style="30" customWidth="1"/>
    <col min="7954" max="8192" width="9" style="30"/>
    <col min="8193" max="8193" width="9.59765625" style="30" customWidth="1"/>
    <col min="8194" max="8198" width="4.59765625" style="30" customWidth="1"/>
    <col min="8199" max="8200" width="5.59765625" style="30" customWidth="1"/>
    <col min="8201" max="8202" width="4.59765625" style="30" customWidth="1"/>
    <col min="8203" max="8203" width="5.59765625" style="30" customWidth="1"/>
    <col min="8204" max="8207" width="4.59765625" style="30" customWidth="1"/>
    <col min="8208" max="8209" width="5.59765625" style="30" customWidth="1"/>
    <col min="8210" max="8448" width="9" style="30"/>
    <col min="8449" max="8449" width="9.59765625" style="30" customWidth="1"/>
    <col min="8450" max="8454" width="4.59765625" style="30" customWidth="1"/>
    <col min="8455" max="8456" width="5.59765625" style="30" customWidth="1"/>
    <col min="8457" max="8458" width="4.59765625" style="30" customWidth="1"/>
    <col min="8459" max="8459" width="5.59765625" style="30" customWidth="1"/>
    <col min="8460" max="8463" width="4.59765625" style="30" customWidth="1"/>
    <col min="8464" max="8465" width="5.59765625" style="30" customWidth="1"/>
    <col min="8466" max="8704" width="9" style="30"/>
    <col min="8705" max="8705" width="9.59765625" style="30" customWidth="1"/>
    <col min="8706" max="8710" width="4.59765625" style="30" customWidth="1"/>
    <col min="8711" max="8712" width="5.59765625" style="30" customWidth="1"/>
    <col min="8713" max="8714" width="4.59765625" style="30" customWidth="1"/>
    <col min="8715" max="8715" width="5.59765625" style="30" customWidth="1"/>
    <col min="8716" max="8719" width="4.59765625" style="30" customWidth="1"/>
    <col min="8720" max="8721" width="5.59765625" style="30" customWidth="1"/>
    <col min="8722" max="8960" width="9" style="30"/>
    <col min="8961" max="8961" width="9.59765625" style="30" customWidth="1"/>
    <col min="8962" max="8966" width="4.59765625" style="30" customWidth="1"/>
    <col min="8967" max="8968" width="5.59765625" style="30" customWidth="1"/>
    <col min="8969" max="8970" width="4.59765625" style="30" customWidth="1"/>
    <col min="8971" max="8971" width="5.59765625" style="30" customWidth="1"/>
    <col min="8972" max="8975" width="4.59765625" style="30" customWidth="1"/>
    <col min="8976" max="8977" width="5.59765625" style="30" customWidth="1"/>
    <col min="8978" max="9216" width="9" style="30"/>
    <col min="9217" max="9217" width="9.59765625" style="30" customWidth="1"/>
    <col min="9218" max="9222" width="4.59765625" style="30" customWidth="1"/>
    <col min="9223" max="9224" width="5.59765625" style="30" customWidth="1"/>
    <col min="9225" max="9226" width="4.59765625" style="30" customWidth="1"/>
    <col min="9227" max="9227" width="5.59765625" style="30" customWidth="1"/>
    <col min="9228" max="9231" width="4.59765625" style="30" customWidth="1"/>
    <col min="9232" max="9233" width="5.59765625" style="30" customWidth="1"/>
    <col min="9234" max="9472" width="9" style="30"/>
    <col min="9473" max="9473" width="9.59765625" style="30" customWidth="1"/>
    <col min="9474" max="9478" width="4.59765625" style="30" customWidth="1"/>
    <col min="9479" max="9480" width="5.59765625" style="30" customWidth="1"/>
    <col min="9481" max="9482" width="4.59765625" style="30" customWidth="1"/>
    <col min="9483" max="9483" width="5.59765625" style="30" customWidth="1"/>
    <col min="9484" max="9487" width="4.59765625" style="30" customWidth="1"/>
    <col min="9488" max="9489" width="5.59765625" style="30" customWidth="1"/>
    <col min="9490" max="9728" width="9" style="30"/>
    <col min="9729" max="9729" width="9.59765625" style="30" customWidth="1"/>
    <col min="9730" max="9734" width="4.59765625" style="30" customWidth="1"/>
    <col min="9735" max="9736" width="5.59765625" style="30" customWidth="1"/>
    <col min="9737" max="9738" width="4.59765625" style="30" customWidth="1"/>
    <col min="9739" max="9739" width="5.59765625" style="30" customWidth="1"/>
    <col min="9740" max="9743" width="4.59765625" style="30" customWidth="1"/>
    <col min="9744" max="9745" width="5.59765625" style="30" customWidth="1"/>
    <col min="9746" max="9984" width="9" style="30"/>
    <col min="9985" max="9985" width="9.59765625" style="30" customWidth="1"/>
    <col min="9986" max="9990" width="4.59765625" style="30" customWidth="1"/>
    <col min="9991" max="9992" width="5.59765625" style="30" customWidth="1"/>
    <col min="9993" max="9994" width="4.59765625" style="30" customWidth="1"/>
    <col min="9995" max="9995" width="5.59765625" style="30" customWidth="1"/>
    <col min="9996" max="9999" width="4.59765625" style="30" customWidth="1"/>
    <col min="10000" max="10001" width="5.59765625" style="30" customWidth="1"/>
    <col min="10002" max="10240" width="9" style="30"/>
    <col min="10241" max="10241" width="9.59765625" style="30" customWidth="1"/>
    <col min="10242" max="10246" width="4.59765625" style="30" customWidth="1"/>
    <col min="10247" max="10248" width="5.59765625" style="30" customWidth="1"/>
    <col min="10249" max="10250" width="4.59765625" style="30" customWidth="1"/>
    <col min="10251" max="10251" width="5.59765625" style="30" customWidth="1"/>
    <col min="10252" max="10255" width="4.59765625" style="30" customWidth="1"/>
    <col min="10256" max="10257" width="5.59765625" style="30" customWidth="1"/>
    <col min="10258" max="10496" width="9" style="30"/>
    <col min="10497" max="10497" width="9.59765625" style="30" customWidth="1"/>
    <col min="10498" max="10502" width="4.59765625" style="30" customWidth="1"/>
    <col min="10503" max="10504" width="5.59765625" style="30" customWidth="1"/>
    <col min="10505" max="10506" width="4.59765625" style="30" customWidth="1"/>
    <col min="10507" max="10507" width="5.59765625" style="30" customWidth="1"/>
    <col min="10508" max="10511" width="4.59765625" style="30" customWidth="1"/>
    <col min="10512" max="10513" width="5.59765625" style="30" customWidth="1"/>
    <col min="10514" max="10752" width="9" style="30"/>
    <col min="10753" max="10753" width="9.59765625" style="30" customWidth="1"/>
    <col min="10754" max="10758" width="4.59765625" style="30" customWidth="1"/>
    <col min="10759" max="10760" width="5.59765625" style="30" customWidth="1"/>
    <col min="10761" max="10762" width="4.59765625" style="30" customWidth="1"/>
    <col min="10763" max="10763" width="5.59765625" style="30" customWidth="1"/>
    <col min="10764" max="10767" width="4.59765625" style="30" customWidth="1"/>
    <col min="10768" max="10769" width="5.59765625" style="30" customWidth="1"/>
    <col min="10770" max="11008" width="9" style="30"/>
    <col min="11009" max="11009" width="9.59765625" style="30" customWidth="1"/>
    <col min="11010" max="11014" width="4.59765625" style="30" customWidth="1"/>
    <col min="11015" max="11016" width="5.59765625" style="30" customWidth="1"/>
    <col min="11017" max="11018" width="4.59765625" style="30" customWidth="1"/>
    <col min="11019" max="11019" width="5.59765625" style="30" customWidth="1"/>
    <col min="11020" max="11023" width="4.59765625" style="30" customWidth="1"/>
    <col min="11024" max="11025" width="5.59765625" style="30" customWidth="1"/>
    <col min="11026" max="11264" width="9" style="30"/>
    <col min="11265" max="11265" width="9.59765625" style="30" customWidth="1"/>
    <col min="11266" max="11270" width="4.59765625" style="30" customWidth="1"/>
    <col min="11271" max="11272" width="5.59765625" style="30" customWidth="1"/>
    <col min="11273" max="11274" width="4.59765625" style="30" customWidth="1"/>
    <col min="11275" max="11275" width="5.59765625" style="30" customWidth="1"/>
    <col min="11276" max="11279" width="4.59765625" style="30" customWidth="1"/>
    <col min="11280" max="11281" width="5.59765625" style="30" customWidth="1"/>
    <col min="11282" max="11520" width="9" style="30"/>
    <col min="11521" max="11521" width="9.59765625" style="30" customWidth="1"/>
    <col min="11522" max="11526" width="4.59765625" style="30" customWidth="1"/>
    <col min="11527" max="11528" width="5.59765625" style="30" customWidth="1"/>
    <col min="11529" max="11530" width="4.59765625" style="30" customWidth="1"/>
    <col min="11531" max="11531" width="5.59765625" style="30" customWidth="1"/>
    <col min="11532" max="11535" width="4.59765625" style="30" customWidth="1"/>
    <col min="11536" max="11537" width="5.59765625" style="30" customWidth="1"/>
    <col min="11538" max="11776" width="9" style="30"/>
    <col min="11777" max="11777" width="9.59765625" style="30" customWidth="1"/>
    <col min="11778" max="11782" width="4.59765625" style="30" customWidth="1"/>
    <col min="11783" max="11784" width="5.59765625" style="30" customWidth="1"/>
    <col min="11785" max="11786" width="4.59765625" style="30" customWidth="1"/>
    <col min="11787" max="11787" width="5.59765625" style="30" customWidth="1"/>
    <col min="11788" max="11791" width="4.59765625" style="30" customWidth="1"/>
    <col min="11792" max="11793" width="5.59765625" style="30" customWidth="1"/>
    <col min="11794" max="12032" width="9" style="30"/>
    <col min="12033" max="12033" width="9.59765625" style="30" customWidth="1"/>
    <col min="12034" max="12038" width="4.59765625" style="30" customWidth="1"/>
    <col min="12039" max="12040" width="5.59765625" style="30" customWidth="1"/>
    <col min="12041" max="12042" width="4.59765625" style="30" customWidth="1"/>
    <col min="12043" max="12043" width="5.59765625" style="30" customWidth="1"/>
    <col min="12044" max="12047" width="4.59765625" style="30" customWidth="1"/>
    <col min="12048" max="12049" width="5.59765625" style="30" customWidth="1"/>
    <col min="12050" max="12288" width="9" style="30"/>
    <col min="12289" max="12289" width="9.59765625" style="30" customWidth="1"/>
    <col min="12290" max="12294" width="4.59765625" style="30" customWidth="1"/>
    <col min="12295" max="12296" width="5.59765625" style="30" customWidth="1"/>
    <col min="12297" max="12298" width="4.59765625" style="30" customWidth="1"/>
    <col min="12299" max="12299" width="5.59765625" style="30" customWidth="1"/>
    <col min="12300" max="12303" width="4.59765625" style="30" customWidth="1"/>
    <col min="12304" max="12305" width="5.59765625" style="30" customWidth="1"/>
    <col min="12306" max="12544" width="9" style="30"/>
    <col min="12545" max="12545" width="9.59765625" style="30" customWidth="1"/>
    <col min="12546" max="12550" width="4.59765625" style="30" customWidth="1"/>
    <col min="12551" max="12552" width="5.59765625" style="30" customWidth="1"/>
    <col min="12553" max="12554" width="4.59765625" style="30" customWidth="1"/>
    <col min="12555" max="12555" width="5.59765625" style="30" customWidth="1"/>
    <col min="12556" max="12559" width="4.59765625" style="30" customWidth="1"/>
    <col min="12560" max="12561" width="5.59765625" style="30" customWidth="1"/>
    <col min="12562" max="12800" width="9" style="30"/>
    <col min="12801" max="12801" width="9.59765625" style="30" customWidth="1"/>
    <col min="12802" max="12806" width="4.59765625" style="30" customWidth="1"/>
    <col min="12807" max="12808" width="5.59765625" style="30" customWidth="1"/>
    <col min="12809" max="12810" width="4.59765625" style="30" customWidth="1"/>
    <col min="12811" max="12811" width="5.59765625" style="30" customWidth="1"/>
    <col min="12812" max="12815" width="4.59765625" style="30" customWidth="1"/>
    <col min="12816" max="12817" width="5.59765625" style="30" customWidth="1"/>
    <col min="12818" max="13056" width="9" style="30"/>
    <col min="13057" max="13057" width="9.59765625" style="30" customWidth="1"/>
    <col min="13058" max="13062" width="4.59765625" style="30" customWidth="1"/>
    <col min="13063" max="13064" width="5.59765625" style="30" customWidth="1"/>
    <col min="13065" max="13066" width="4.59765625" style="30" customWidth="1"/>
    <col min="13067" max="13067" width="5.59765625" style="30" customWidth="1"/>
    <col min="13068" max="13071" width="4.59765625" style="30" customWidth="1"/>
    <col min="13072" max="13073" width="5.59765625" style="30" customWidth="1"/>
    <col min="13074" max="13312" width="9" style="30"/>
    <col min="13313" max="13313" width="9.59765625" style="30" customWidth="1"/>
    <col min="13314" max="13318" width="4.59765625" style="30" customWidth="1"/>
    <col min="13319" max="13320" width="5.59765625" style="30" customWidth="1"/>
    <col min="13321" max="13322" width="4.59765625" style="30" customWidth="1"/>
    <col min="13323" max="13323" width="5.59765625" style="30" customWidth="1"/>
    <col min="13324" max="13327" width="4.59765625" style="30" customWidth="1"/>
    <col min="13328" max="13329" width="5.59765625" style="30" customWidth="1"/>
    <col min="13330" max="13568" width="9" style="30"/>
    <col min="13569" max="13569" width="9.59765625" style="30" customWidth="1"/>
    <col min="13570" max="13574" width="4.59765625" style="30" customWidth="1"/>
    <col min="13575" max="13576" width="5.59765625" style="30" customWidth="1"/>
    <col min="13577" max="13578" width="4.59765625" style="30" customWidth="1"/>
    <col min="13579" max="13579" width="5.59765625" style="30" customWidth="1"/>
    <col min="13580" max="13583" width="4.59765625" style="30" customWidth="1"/>
    <col min="13584" max="13585" width="5.59765625" style="30" customWidth="1"/>
    <col min="13586" max="13824" width="9" style="30"/>
    <col min="13825" max="13825" width="9.59765625" style="30" customWidth="1"/>
    <col min="13826" max="13830" width="4.59765625" style="30" customWidth="1"/>
    <col min="13831" max="13832" width="5.59765625" style="30" customWidth="1"/>
    <col min="13833" max="13834" width="4.59765625" style="30" customWidth="1"/>
    <col min="13835" max="13835" width="5.59765625" style="30" customWidth="1"/>
    <col min="13836" max="13839" width="4.59765625" style="30" customWidth="1"/>
    <col min="13840" max="13841" width="5.59765625" style="30" customWidth="1"/>
    <col min="13842" max="14080" width="9" style="30"/>
    <col min="14081" max="14081" width="9.59765625" style="30" customWidth="1"/>
    <col min="14082" max="14086" width="4.59765625" style="30" customWidth="1"/>
    <col min="14087" max="14088" width="5.59765625" style="30" customWidth="1"/>
    <col min="14089" max="14090" width="4.59765625" style="30" customWidth="1"/>
    <col min="14091" max="14091" width="5.59765625" style="30" customWidth="1"/>
    <col min="14092" max="14095" width="4.59765625" style="30" customWidth="1"/>
    <col min="14096" max="14097" width="5.59765625" style="30" customWidth="1"/>
    <col min="14098" max="14336" width="9" style="30"/>
    <col min="14337" max="14337" width="9.59765625" style="30" customWidth="1"/>
    <col min="14338" max="14342" width="4.59765625" style="30" customWidth="1"/>
    <col min="14343" max="14344" width="5.59765625" style="30" customWidth="1"/>
    <col min="14345" max="14346" width="4.59765625" style="30" customWidth="1"/>
    <col min="14347" max="14347" width="5.59765625" style="30" customWidth="1"/>
    <col min="14348" max="14351" width="4.59765625" style="30" customWidth="1"/>
    <col min="14352" max="14353" width="5.59765625" style="30" customWidth="1"/>
    <col min="14354" max="14592" width="9" style="30"/>
    <col min="14593" max="14593" width="9.59765625" style="30" customWidth="1"/>
    <col min="14594" max="14598" width="4.59765625" style="30" customWidth="1"/>
    <col min="14599" max="14600" width="5.59765625" style="30" customWidth="1"/>
    <col min="14601" max="14602" width="4.59765625" style="30" customWidth="1"/>
    <col min="14603" max="14603" width="5.59765625" style="30" customWidth="1"/>
    <col min="14604" max="14607" width="4.59765625" style="30" customWidth="1"/>
    <col min="14608" max="14609" width="5.59765625" style="30" customWidth="1"/>
    <col min="14610" max="14848" width="9" style="30"/>
    <col min="14849" max="14849" width="9.59765625" style="30" customWidth="1"/>
    <col min="14850" max="14854" width="4.59765625" style="30" customWidth="1"/>
    <col min="14855" max="14856" width="5.59765625" style="30" customWidth="1"/>
    <col min="14857" max="14858" width="4.59765625" style="30" customWidth="1"/>
    <col min="14859" max="14859" width="5.59765625" style="30" customWidth="1"/>
    <col min="14860" max="14863" width="4.59765625" style="30" customWidth="1"/>
    <col min="14864" max="14865" width="5.59765625" style="30" customWidth="1"/>
    <col min="14866" max="15104" width="9" style="30"/>
    <col min="15105" max="15105" width="9.59765625" style="30" customWidth="1"/>
    <col min="15106" max="15110" width="4.59765625" style="30" customWidth="1"/>
    <col min="15111" max="15112" width="5.59765625" style="30" customWidth="1"/>
    <col min="15113" max="15114" width="4.59765625" style="30" customWidth="1"/>
    <col min="15115" max="15115" width="5.59765625" style="30" customWidth="1"/>
    <col min="15116" max="15119" width="4.59765625" style="30" customWidth="1"/>
    <col min="15120" max="15121" width="5.59765625" style="30" customWidth="1"/>
    <col min="15122" max="15360" width="9" style="30"/>
    <col min="15361" max="15361" width="9.59765625" style="30" customWidth="1"/>
    <col min="15362" max="15366" width="4.59765625" style="30" customWidth="1"/>
    <col min="15367" max="15368" width="5.59765625" style="30" customWidth="1"/>
    <col min="15369" max="15370" width="4.59765625" style="30" customWidth="1"/>
    <col min="15371" max="15371" width="5.59765625" style="30" customWidth="1"/>
    <col min="15372" max="15375" width="4.59765625" style="30" customWidth="1"/>
    <col min="15376" max="15377" width="5.59765625" style="30" customWidth="1"/>
    <col min="15378" max="15616" width="9" style="30"/>
    <col min="15617" max="15617" width="9.59765625" style="30" customWidth="1"/>
    <col min="15618" max="15622" width="4.59765625" style="30" customWidth="1"/>
    <col min="15623" max="15624" width="5.59765625" style="30" customWidth="1"/>
    <col min="15625" max="15626" width="4.59765625" style="30" customWidth="1"/>
    <col min="15627" max="15627" width="5.59765625" style="30" customWidth="1"/>
    <col min="15628" max="15631" width="4.59765625" style="30" customWidth="1"/>
    <col min="15632" max="15633" width="5.59765625" style="30" customWidth="1"/>
    <col min="15634" max="15872" width="9" style="30"/>
    <col min="15873" max="15873" width="9.59765625" style="30" customWidth="1"/>
    <col min="15874" max="15878" width="4.59765625" style="30" customWidth="1"/>
    <col min="15879" max="15880" width="5.59765625" style="30" customWidth="1"/>
    <col min="15881" max="15882" width="4.59765625" style="30" customWidth="1"/>
    <col min="15883" max="15883" width="5.59765625" style="30" customWidth="1"/>
    <col min="15884" max="15887" width="4.59765625" style="30" customWidth="1"/>
    <col min="15888" max="15889" width="5.59765625" style="30" customWidth="1"/>
    <col min="15890" max="16128" width="9" style="30"/>
    <col min="16129" max="16129" width="9.59765625" style="30" customWidth="1"/>
    <col min="16130" max="16134" width="4.59765625" style="30" customWidth="1"/>
    <col min="16135" max="16136" width="5.59765625" style="30" customWidth="1"/>
    <col min="16137" max="16138" width="4.59765625" style="30" customWidth="1"/>
    <col min="16139" max="16139" width="5.59765625" style="30" customWidth="1"/>
    <col min="16140" max="16143" width="4.59765625" style="30" customWidth="1"/>
    <col min="16144" max="16145" width="5.59765625" style="30" customWidth="1"/>
    <col min="16146" max="16384" width="9" style="30"/>
  </cols>
  <sheetData>
    <row r="1" spans="1:17" ht="30" customHeight="1" thickBot="1">
      <c r="A1" s="2139" t="s">
        <v>939</v>
      </c>
      <c r="B1" s="2139"/>
      <c r="C1" s="2139"/>
      <c r="D1" s="2139"/>
      <c r="E1" s="2139"/>
      <c r="F1" s="2139"/>
      <c r="G1" s="2139"/>
      <c r="H1" s="2139"/>
      <c r="I1" s="2143"/>
      <c r="J1" s="2143"/>
      <c r="K1" s="2"/>
      <c r="L1" s="2"/>
      <c r="M1" s="2"/>
      <c r="N1" s="2"/>
      <c r="O1" s="2263" t="s">
        <v>666</v>
      </c>
      <c r="P1" s="2263"/>
      <c r="Q1" s="2263"/>
    </row>
    <row r="2" spans="1:17" ht="46.5" customHeight="1">
      <c r="A2" s="2559" t="s">
        <v>854</v>
      </c>
      <c r="B2" s="2555" t="s">
        <v>940</v>
      </c>
      <c r="C2" s="2561" t="s">
        <v>941</v>
      </c>
      <c r="D2" s="2562"/>
      <c r="E2" s="2562"/>
      <c r="F2" s="2563"/>
      <c r="G2" s="2564" t="s">
        <v>942</v>
      </c>
      <c r="H2" s="2565" t="s">
        <v>943</v>
      </c>
      <c r="I2" s="2555" t="s">
        <v>944</v>
      </c>
      <c r="J2" s="2555" t="s">
        <v>945</v>
      </c>
      <c r="K2" s="2557" t="s">
        <v>946</v>
      </c>
      <c r="L2" s="2566" t="s">
        <v>947</v>
      </c>
      <c r="M2" s="2567"/>
      <c r="N2" s="2568" t="s">
        <v>948</v>
      </c>
      <c r="O2" s="2569"/>
      <c r="P2" s="2555" t="s">
        <v>949</v>
      </c>
      <c r="Q2" s="2570" t="s">
        <v>950</v>
      </c>
    </row>
    <row r="3" spans="1:17" ht="81" customHeight="1">
      <c r="A3" s="2560"/>
      <c r="B3" s="2556"/>
      <c r="C3" s="626" t="s">
        <v>25</v>
      </c>
      <c r="D3" s="626" t="s">
        <v>951</v>
      </c>
      <c r="E3" s="626" t="s">
        <v>952</v>
      </c>
      <c r="F3" s="627" t="s">
        <v>953</v>
      </c>
      <c r="G3" s="2528"/>
      <c r="H3" s="2556"/>
      <c r="I3" s="2556"/>
      <c r="J3" s="2556"/>
      <c r="K3" s="2558"/>
      <c r="L3" s="626" t="s">
        <v>954</v>
      </c>
      <c r="M3" s="626" t="s">
        <v>955</v>
      </c>
      <c r="N3" s="626" t="s">
        <v>951</v>
      </c>
      <c r="O3" s="626" t="s">
        <v>956</v>
      </c>
      <c r="P3" s="2556"/>
      <c r="Q3" s="2571"/>
    </row>
    <row r="4" spans="1:17">
      <c r="A4" s="628"/>
      <c r="B4" s="629" t="s">
        <v>167</v>
      </c>
      <c r="C4" s="629" t="s">
        <v>167</v>
      </c>
      <c r="D4" s="629" t="s">
        <v>167</v>
      </c>
      <c r="E4" s="629" t="s">
        <v>167</v>
      </c>
      <c r="F4" s="629" t="s">
        <v>167</v>
      </c>
      <c r="G4" s="630" t="s">
        <v>167</v>
      </c>
      <c r="H4" s="630" t="s">
        <v>167</v>
      </c>
      <c r="I4" s="629" t="s">
        <v>167</v>
      </c>
      <c r="J4" s="629" t="s">
        <v>167</v>
      </c>
      <c r="K4" s="630" t="s">
        <v>167</v>
      </c>
      <c r="L4" s="631" t="s">
        <v>167</v>
      </c>
      <c r="M4" s="629" t="s">
        <v>167</v>
      </c>
      <c r="N4" s="631" t="s">
        <v>167</v>
      </c>
      <c r="O4" s="629" t="s">
        <v>167</v>
      </c>
      <c r="P4" s="631" t="s">
        <v>957</v>
      </c>
      <c r="Q4" s="631" t="s">
        <v>957</v>
      </c>
    </row>
    <row r="5" spans="1:17">
      <c r="A5" s="243" t="s">
        <v>958</v>
      </c>
      <c r="B5" s="35">
        <v>301</v>
      </c>
      <c r="C5" s="86">
        <v>152</v>
      </c>
      <c r="D5" s="35">
        <v>115</v>
      </c>
      <c r="E5" s="35">
        <v>36</v>
      </c>
      <c r="F5" s="35">
        <v>1</v>
      </c>
      <c r="G5" s="35">
        <v>110</v>
      </c>
      <c r="H5" s="35">
        <v>27</v>
      </c>
      <c r="I5" s="35">
        <v>12</v>
      </c>
      <c r="J5" s="35" t="s">
        <v>812</v>
      </c>
      <c r="K5" s="35">
        <v>132</v>
      </c>
      <c r="L5" s="86" t="s">
        <v>812</v>
      </c>
      <c r="M5" s="35" t="s">
        <v>812</v>
      </c>
      <c r="N5" s="38">
        <v>147</v>
      </c>
      <c r="O5" s="86">
        <v>36</v>
      </c>
      <c r="P5" s="38">
        <v>50.498338870431894</v>
      </c>
      <c r="Q5" s="39">
        <v>8.9700996677740861</v>
      </c>
    </row>
    <row r="6" spans="1:17">
      <c r="A6" s="247" t="s">
        <v>164</v>
      </c>
      <c r="B6" s="34">
        <v>140</v>
      </c>
      <c r="C6" s="98">
        <v>71</v>
      </c>
      <c r="D6" s="34">
        <v>69</v>
      </c>
      <c r="E6" s="34">
        <v>1</v>
      </c>
      <c r="F6" s="34">
        <v>1</v>
      </c>
      <c r="G6" s="34">
        <v>52</v>
      </c>
      <c r="H6" s="34">
        <v>10</v>
      </c>
      <c r="I6" s="34">
        <v>7</v>
      </c>
      <c r="J6" s="34" t="s">
        <v>812</v>
      </c>
      <c r="K6" s="34">
        <v>59</v>
      </c>
      <c r="L6" s="98" t="s">
        <v>812</v>
      </c>
      <c r="M6" s="34" t="s">
        <v>812</v>
      </c>
      <c r="N6" s="36">
        <v>95</v>
      </c>
      <c r="O6" s="98">
        <v>1</v>
      </c>
      <c r="P6" s="36">
        <v>50.714285714285708</v>
      </c>
      <c r="Q6" s="33">
        <v>7.1428571428571423</v>
      </c>
    </row>
    <row r="7" spans="1:17">
      <c r="A7" s="244" t="s">
        <v>165</v>
      </c>
      <c r="B7" s="622">
        <v>161</v>
      </c>
      <c r="C7" s="620">
        <v>81</v>
      </c>
      <c r="D7" s="622">
        <v>46</v>
      </c>
      <c r="E7" s="622">
        <v>35</v>
      </c>
      <c r="F7" s="622" t="s">
        <v>812</v>
      </c>
      <c r="G7" s="622">
        <v>58</v>
      </c>
      <c r="H7" s="622">
        <v>17</v>
      </c>
      <c r="I7" s="622">
        <v>5</v>
      </c>
      <c r="J7" s="622" t="s">
        <v>812</v>
      </c>
      <c r="K7" s="622">
        <v>73</v>
      </c>
      <c r="L7" s="620" t="s">
        <v>812</v>
      </c>
      <c r="M7" s="622" t="s">
        <v>812</v>
      </c>
      <c r="N7" s="632">
        <v>52</v>
      </c>
      <c r="O7" s="620">
        <v>35</v>
      </c>
      <c r="P7" s="632">
        <v>50.310559006211179</v>
      </c>
      <c r="Q7" s="621" t="s">
        <v>812</v>
      </c>
    </row>
    <row r="8" spans="1:17">
      <c r="A8" s="247" t="s">
        <v>959</v>
      </c>
      <c r="B8" s="34">
        <v>267</v>
      </c>
      <c r="C8" s="98">
        <v>136</v>
      </c>
      <c r="D8" s="34">
        <v>106</v>
      </c>
      <c r="E8" s="34">
        <v>29</v>
      </c>
      <c r="F8" s="34">
        <v>1</v>
      </c>
      <c r="G8" s="98">
        <v>65</v>
      </c>
      <c r="H8" s="98">
        <v>20</v>
      </c>
      <c r="I8" s="34">
        <v>7</v>
      </c>
      <c r="J8" s="34" t="s">
        <v>812</v>
      </c>
      <c r="K8" s="98">
        <v>66</v>
      </c>
      <c r="L8" s="34" t="s">
        <v>812</v>
      </c>
      <c r="M8" s="34" t="s">
        <v>812</v>
      </c>
      <c r="N8" s="34">
        <v>140</v>
      </c>
      <c r="O8" s="34">
        <v>29</v>
      </c>
      <c r="P8" s="633">
        <v>50.936329588014985</v>
      </c>
      <c r="Q8" s="624">
        <v>7.4906367041198507</v>
      </c>
    </row>
    <row r="9" spans="1:17">
      <c r="A9" s="247" t="s">
        <v>164</v>
      </c>
      <c r="B9" s="34">
        <v>112</v>
      </c>
      <c r="C9" s="98">
        <v>59</v>
      </c>
      <c r="D9" s="98">
        <v>59</v>
      </c>
      <c r="E9" s="34" t="s">
        <v>812</v>
      </c>
      <c r="F9" s="34" t="s">
        <v>812</v>
      </c>
      <c r="G9" s="98">
        <v>12</v>
      </c>
      <c r="H9" s="224">
        <v>8</v>
      </c>
      <c r="I9" s="98">
        <v>3</v>
      </c>
      <c r="J9" s="34" t="s">
        <v>812</v>
      </c>
      <c r="K9" s="98">
        <v>30</v>
      </c>
      <c r="L9" s="34" t="s">
        <v>812</v>
      </c>
      <c r="M9" s="34" t="s">
        <v>812</v>
      </c>
      <c r="N9" s="33">
        <v>86</v>
      </c>
      <c r="O9" s="98" t="s">
        <v>812</v>
      </c>
      <c r="P9" s="624">
        <v>52.678571428571431</v>
      </c>
      <c r="Q9" s="624">
        <v>7.1428571428571423</v>
      </c>
    </row>
    <row r="10" spans="1:17">
      <c r="A10" s="244" t="s">
        <v>165</v>
      </c>
      <c r="B10" s="620">
        <v>155</v>
      </c>
      <c r="C10" s="620">
        <v>77</v>
      </c>
      <c r="D10" s="620">
        <v>47</v>
      </c>
      <c r="E10" s="620">
        <v>29</v>
      </c>
      <c r="F10" s="622">
        <v>1</v>
      </c>
      <c r="G10" s="620">
        <v>53</v>
      </c>
      <c r="H10" s="620">
        <v>12</v>
      </c>
      <c r="I10" s="622">
        <v>4</v>
      </c>
      <c r="J10" s="622" t="s">
        <v>812</v>
      </c>
      <c r="K10" s="620">
        <v>36</v>
      </c>
      <c r="L10" s="622" t="s">
        <v>812</v>
      </c>
      <c r="M10" s="622" t="s">
        <v>812</v>
      </c>
      <c r="N10" s="621">
        <v>54</v>
      </c>
      <c r="O10" s="620">
        <v>29</v>
      </c>
      <c r="P10" s="623">
        <v>49.677419354838712</v>
      </c>
      <c r="Q10" s="634">
        <v>7.7</v>
      </c>
    </row>
    <row r="11" spans="1:17">
      <c r="A11" s="247" t="s">
        <v>960</v>
      </c>
      <c r="B11" s="34">
        <f>SUM(B12:B13)</f>
        <v>261</v>
      </c>
      <c r="C11" s="98">
        <f>SUM(C12:C13)</f>
        <v>151</v>
      </c>
      <c r="D11" s="34">
        <f>SUM(D12:D13)</f>
        <v>117</v>
      </c>
      <c r="E11" s="34">
        <f>SUM(E12:E13)</f>
        <v>34</v>
      </c>
      <c r="F11" s="34" t="s">
        <v>812</v>
      </c>
      <c r="G11" s="98">
        <f>SUM(G12:G13)</f>
        <v>89</v>
      </c>
      <c r="H11" s="98">
        <f>SUM(H12:H13)</f>
        <v>16</v>
      </c>
      <c r="I11" s="34">
        <v>1</v>
      </c>
      <c r="J11" s="34" t="s">
        <v>812</v>
      </c>
      <c r="K11" s="98">
        <f>SUM(K12:K13)</f>
        <v>102</v>
      </c>
      <c r="L11" s="34" t="s">
        <v>812</v>
      </c>
      <c r="M11" s="34" t="s">
        <v>812</v>
      </c>
      <c r="N11" s="34">
        <f>SUM(N12:N13)</f>
        <v>155</v>
      </c>
      <c r="O11" s="34">
        <f>SUM(O12:O13)</f>
        <v>34</v>
      </c>
      <c r="P11" s="635">
        <f t="shared" ref="P11:P34" si="0">C11/B11*100</f>
        <v>57.854406130268202</v>
      </c>
      <c r="Q11" s="625">
        <f t="shared" ref="Q11:Q34" si="1">H11/B11*100</f>
        <v>6.1302681992337158</v>
      </c>
    </row>
    <row r="12" spans="1:17">
      <c r="A12" s="247" t="s">
        <v>164</v>
      </c>
      <c r="B12" s="34">
        <f>SUM(C12,G12,H12,I12)</f>
        <v>117</v>
      </c>
      <c r="C12" s="98">
        <f>D12+E12</f>
        <v>65</v>
      </c>
      <c r="D12" s="98">
        <f>47+16</f>
        <v>63</v>
      </c>
      <c r="E12" s="98">
        <v>2</v>
      </c>
      <c r="F12" s="34" t="s">
        <v>812</v>
      </c>
      <c r="G12" s="98">
        <f>26+20</f>
        <v>46</v>
      </c>
      <c r="H12" s="224">
        <f>1+4</f>
        <v>5</v>
      </c>
      <c r="I12" s="98">
        <v>1</v>
      </c>
      <c r="J12" s="34" t="s">
        <v>812</v>
      </c>
      <c r="K12" s="98">
        <f>37+12</f>
        <v>49</v>
      </c>
      <c r="L12" s="34" t="s">
        <v>812</v>
      </c>
      <c r="M12" s="34" t="s">
        <v>812</v>
      </c>
      <c r="N12" s="33">
        <f>74+16</f>
        <v>90</v>
      </c>
      <c r="O12" s="98">
        <v>2</v>
      </c>
      <c r="P12" s="624">
        <f t="shared" si="0"/>
        <v>55.555555555555557</v>
      </c>
      <c r="Q12" s="624">
        <f t="shared" si="1"/>
        <v>4.2735042735042734</v>
      </c>
    </row>
    <row r="13" spans="1:17">
      <c r="A13" s="244" t="s">
        <v>165</v>
      </c>
      <c r="B13" s="620">
        <f>SUM(C13,G13,H13,I13)</f>
        <v>144</v>
      </c>
      <c r="C13" s="620">
        <f>D13+E13</f>
        <v>86</v>
      </c>
      <c r="D13" s="620">
        <f>43+11</f>
        <v>54</v>
      </c>
      <c r="E13" s="620">
        <f>15+17</f>
        <v>32</v>
      </c>
      <c r="F13" s="622" t="s">
        <v>812</v>
      </c>
      <c r="G13" s="620">
        <f>14+29</f>
        <v>43</v>
      </c>
      <c r="H13" s="620">
        <f>4+7</f>
        <v>11</v>
      </c>
      <c r="I13" s="622">
        <f>3+1</f>
        <v>4</v>
      </c>
      <c r="J13" s="622" t="s">
        <v>812</v>
      </c>
      <c r="K13" s="620">
        <f>43+10</f>
        <v>53</v>
      </c>
      <c r="L13" s="622" t="s">
        <v>812</v>
      </c>
      <c r="M13" s="622" t="s">
        <v>812</v>
      </c>
      <c r="N13" s="621">
        <f>54+11</f>
        <v>65</v>
      </c>
      <c r="O13" s="620">
        <f>15+17</f>
        <v>32</v>
      </c>
      <c r="P13" s="623">
        <f t="shared" si="0"/>
        <v>59.722222222222221</v>
      </c>
      <c r="Q13" s="634">
        <f t="shared" si="1"/>
        <v>7.6388888888888893</v>
      </c>
    </row>
    <row r="14" spans="1:17">
      <c r="A14" s="247" t="s">
        <v>961</v>
      </c>
      <c r="B14" s="35">
        <f>SUM(B15:B16)</f>
        <v>265</v>
      </c>
      <c r="C14" s="35">
        <f>SUM(C15:C16)</f>
        <v>164</v>
      </c>
      <c r="D14" s="34">
        <f>SUM(D15:D16)</f>
        <v>125</v>
      </c>
      <c r="E14" s="34">
        <f>SUM(E15:E16)</f>
        <v>39</v>
      </c>
      <c r="F14" s="34" t="s">
        <v>812</v>
      </c>
      <c r="G14" s="98">
        <f>SUM(G15:G16)</f>
        <v>78</v>
      </c>
      <c r="H14" s="98">
        <f>SUM(H15:H16)</f>
        <v>22</v>
      </c>
      <c r="I14" s="34">
        <v>1</v>
      </c>
      <c r="J14" s="34" t="s">
        <v>812</v>
      </c>
      <c r="K14" s="98">
        <f>SUM(K15:K16)</f>
        <v>103</v>
      </c>
      <c r="L14" s="34" t="s">
        <v>812</v>
      </c>
      <c r="M14" s="34" t="s">
        <v>812</v>
      </c>
      <c r="N14" s="34">
        <f>SUM(N15:N16)</f>
        <v>160</v>
      </c>
      <c r="O14" s="35">
        <f>SUM(O15:O16)</f>
        <v>41</v>
      </c>
      <c r="P14" s="635">
        <f t="shared" si="0"/>
        <v>61.886792452830186</v>
      </c>
      <c r="Q14" s="625">
        <f t="shared" si="1"/>
        <v>8.3018867924528301</v>
      </c>
    </row>
    <row r="15" spans="1:17">
      <c r="A15" s="247" t="s">
        <v>164</v>
      </c>
      <c r="B15" s="34">
        <f>SUM(C15,G15,H15,I15)</f>
        <v>136</v>
      </c>
      <c r="C15" s="98">
        <f>D15+E15</f>
        <v>82</v>
      </c>
      <c r="D15" s="98">
        <f>60+16</f>
        <v>76</v>
      </c>
      <c r="E15" s="98">
        <f>4+2</f>
        <v>6</v>
      </c>
      <c r="F15" s="34" t="s">
        <v>812</v>
      </c>
      <c r="G15" s="98">
        <f>21+20</f>
        <v>41</v>
      </c>
      <c r="H15" s="224">
        <f>9+4</f>
        <v>13</v>
      </c>
      <c r="I15" s="34" t="s">
        <v>812</v>
      </c>
      <c r="J15" s="34" t="s">
        <v>812</v>
      </c>
      <c r="K15" s="98">
        <f>46+11</f>
        <v>57</v>
      </c>
      <c r="L15" s="34" t="s">
        <v>812</v>
      </c>
      <c r="M15" s="34" t="s">
        <v>812</v>
      </c>
      <c r="N15" s="33">
        <f>75+24</f>
        <v>99</v>
      </c>
      <c r="O15" s="98">
        <f>1+2</f>
        <v>3</v>
      </c>
      <c r="P15" s="624">
        <f t="shared" si="0"/>
        <v>60.294117647058819</v>
      </c>
      <c r="Q15" s="624">
        <f t="shared" si="1"/>
        <v>9.5588235294117645</v>
      </c>
    </row>
    <row r="16" spans="1:17">
      <c r="A16" s="244" t="s">
        <v>165</v>
      </c>
      <c r="B16" s="622">
        <f>SUM(C16,G16,H16,I16)</f>
        <v>129</v>
      </c>
      <c r="C16" s="620">
        <f>D16+E16</f>
        <v>82</v>
      </c>
      <c r="D16" s="620">
        <f>38+11</f>
        <v>49</v>
      </c>
      <c r="E16" s="620">
        <f>16+17</f>
        <v>33</v>
      </c>
      <c r="F16" s="622" t="s">
        <v>812</v>
      </c>
      <c r="G16" s="620">
        <f>8+29</f>
        <v>37</v>
      </c>
      <c r="H16" s="620">
        <f>2+7</f>
        <v>9</v>
      </c>
      <c r="I16" s="622">
        <v>1</v>
      </c>
      <c r="J16" s="622" t="s">
        <v>812</v>
      </c>
      <c r="K16" s="620">
        <f>38+8</f>
        <v>46</v>
      </c>
      <c r="L16" s="622" t="s">
        <v>812</v>
      </c>
      <c r="M16" s="622" t="s">
        <v>812</v>
      </c>
      <c r="N16" s="621">
        <f>41+20</f>
        <v>61</v>
      </c>
      <c r="O16" s="620">
        <f>16+22</f>
        <v>38</v>
      </c>
      <c r="P16" s="623">
        <f t="shared" si="0"/>
        <v>63.565891472868216</v>
      </c>
      <c r="Q16" s="634">
        <f t="shared" si="1"/>
        <v>6.9767441860465116</v>
      </c>
    </row>
    <row r="17" spans="1:17">
      <c r="A17" s="243" t="s">
        <v>962</v>
      </c>
      <c r="B17" s="35">
        <f>SUM(B18:B19)</f>
        <v>271</v>
      </c>
      <c r="C17" s="35">
        <f>SUM(C18:C19)</f>
        <v>138</v>
      </c>
      <c r="D17" s="35">
        <f>SUM(D18:D19)</f>
        <v>103</v>
      </c>
      <c r="E17" s="35">
        <f>SUM(E18:E19)</f>
        <v>35</v>
      </c>
      <c r="F17" s="34" t="s">
        <v>812</v>
      </c>
      <c r="G17" s="86">
        <f>SUM(G18:G19)</f>
        <v>101</v>
      </c>
      <c r="H17" s="86">
        <f>SUM(H18:H19)</f>
        <v>23</v>
      </c>
      <c r="I17" s="35">
        <f>SUM(I18:I19)</f>
        <v>9</v>
      </c>
      <c r="J17" s="34" t="s">
        <v>812</v>
      </c>
      <c r="K17" s="86">
        <f>SUM(K18:K19)</f>
        <v>88</v>
      </c>
      <c r="L17" s="86">
        <v>2</v>
      </c>
      <c r="M17" s="34" t="s">
        <v>812</v>
      </c>
      <c r="N17" s="35">
        <f>SUM(N18:N19)</f>
        <v>140</v>
      </c>
      <c r="O17" s="35">
        <f>SUM(O18:O19)</f>
        <v>40</v>
      </c>
      <c r="P17" s="635">
        <f t="shared" si="0"/>
        <v>50.922509225092249</v>
      </c>
      <c r="Q17" s="625">
        <f t="shared" si="1"/>
        <v>8.4870848708487081</v>
      </c>
    </row>
    <row r="18" spans="1:17">
      <c r="A18" s="247" t="s">
        <v>164</v>
      </c>
      <c r="B18" s="34">
        <f>SUM(C18,G18,H18,I18)</f>
        <v>117</v>
      </c>
      <c r="C18" s="98">
        <f>D18+E18</f>
        <v>63</v>
      </c>
      <c r="D18" s="98">
        <f>40+20</f>
        <v>60</v>
      </c>
      <c r="E18" s="98">
        <f>1+2</f>
        <v>3</v>
      </c>
      <c r="F18" s="34" t="s">
        <v>812</v>
      </c>
      <c r="G18" s="98">
        <f>31+12</f>
        <v>43</v>
      </c>
      <c r="H18" s="98">
        <f>5+5</f>
        <v>10</v>
      </c>
      <c r="I18" s="98">
        <v>1</v>
      </c>
      <c r="J18" s="34" t="s">
        <v>812</v>
      </c>
      <c r="K18" s="98">
        <f>31+11</f>
        <v>42</v>
      </c>
      <c r="L18" s="34" t="s">
        <v>812</v>
      </c>
      <c r="M18" s="34" t="s">
        <v>812</v>
      </c>
      <c r="N18" s="98">
        <f>68+20</f>
        <v>88</v>
      </c>
      <c r="O18" s="98">
        <f>1+5</f>
        <v>6</v>
      </c>
      <c r="P18" s="624">
        <f t="shared" si="0"/>
        <v>53.846153846153847</v>
      </c>
      <c r="Q18" s="624">
        <f t="shared" si="1"/>
        <v>8.5470085470085468</v>
      </c>
    </row>
    <row r="19" spans="1:17">
      <c r="A19" s="244" t="s">
        <v>165</v>
      </c>
      <c r="B19" s="622">
        <f>SUM(C19,G19,H19,I19)</f>
        <v>154</v>
      </c>
      <c r="C19" s="620">
        <f>D19+E19</f>
        <v>75</v>
      </c>
      <c r="D19" s="620">
        <f>37+6</f>
        <v>43</v>
      </c>
      <c r="E19" s="620">
        <f>16+16</f>
        <v>32</v>
      </c>
      <c r="F19" s="622" t="s">
        <v>812</v>
      </c>
      <c r="G19" s="620">
        <f>24+34</f>
        <v>58</v>
      </c>
      <c r="H19" s="620">
        <f>2+11</f>
        <v>13</v>
      </c>
      <c r="I19" s="620">
        <v>8</v>
      </c>
      <c r="J19" s="622" t="s">
        <v>812</v>
      </c>
      <c r="K19" s="620">
        <f>38+8</f>
        <v>46</v>
      </c>
      <c r="L19" s="620">
        <v>2</v>
      </c>
      <c r="M19" s="622" t="s">
        <v>812</v>
      </c>
      <c r="N19" s="620">
        <f>45+7</f>
        <v>52</v>
      </c>
      <c r="O19" s="620">
        <f>20+14</f>
        <v>34</v>
      </c>
      <c r="P19" s="623">
        <f t="shared" si="0"/>
        <v>48.701298701298704</v>
      </c>
      <c r="Q19" s="634">
        <f t="shared" si="1"/>
        <v>8.4415584415584419</v>
      </c>
    </row>
    <row r="20" spans="1:17">
      <c r="A20" s="243" t="s">
        <v>963</v>
      </c>
      <c r="B20" s="35">
        <f>SUM(B21:B22)</f>
        <v>274</v>
      </c>
      <c r="C20" s="35">
        <f>SUM(C21:C22)</f>
        <v>149</v>
      </c>
      <c r="D20" s="35">
        <f>SUM(D21:D22)</f>
        <v>109</v>
      </c>
      <c r="E20" s="35">
        <f>SUM(E21:E22)</f>
        <v>40</v>
      </c>
      <c r="F20" s="34" t="s">
        <v>812</v>
      </c>
      <c r="G20" s="86">
        <f>SUM(G21:G22)</f>
        <v>96</v>
      </c>
      <c r="H20" s="86">
        <f>SUM(H21:H22)</f>
        <v>24</v>
      </c>
      <c r="I20" s="35">
        <f>SUM(I21:I22)</f>
        <v>5</v>
      </c>
      <c r="J20" s="34" t="s">
        <v>812</v>
      </c>
      <c r="K20" s="86">
        <f>SUM(K21:K22)</f>
        <v>88</v>
      </c>
      <c r="L20" s="34" t="s">
        <v>812</v>
      </c>
      <c r="M20" s="34" t="s">
        <v>812</v>
      </c>
      <c r="N20" s="35">
        <f>SUM(N21:N22)</f>
        <v>139</v>
      </c>
      <c r="O20" s="86">
        <f>SUM(O21:O22)</f>
        <v>26</v>
      </c>
      <c r="P20" s="635">
        <f t="shared" si="0"/>
        <v>54.379562043795616</v>
      </c>
      <c r="Q20" s="625">
        <f t="shared" si="1"/>
        <v>8.7591240875912408</v>
      </c>
    </row>
    <row r="21" spans="1:17">
      <c r="A21" s="247" t="s">
        <v>164</v>
      </c>
      <c r="B21" s="34">
        <f>SUM(C21,G21,H21,I21)</f>
        <v>120</v>
      </c>
      <c r="C21" s="98">
        <f>D21+E21</f>
        <v>62</v>
      </c>
      <c r="D21" s="98">
        <f>41+15</f>
        <v>56</v>
      </c>
      <c r="E21" s="98">
        <f>1+5</f>
        <v>6</v>
      </c>
      <c r="F21" s="34" t="s">
        <v>812</v>
      </c>
      <c r="G21" s="98">
        <f>26+16</f>
        <v>42</v>
      </c>
      <c r="H21" s="98">
        <f>8+6</f>
        <v>14</v>
      </c>
      <c r="I21" s="98">
        <v>2</v>
      </c>
      <c r="J21" s="34" t="s">
        <v>812</v>
      </c>
      <c r="K21" s="98">
        <f>30+9</f>
        <v>39</v>
      </c>
      <c r="L21" s="34" t="s">
        <v>812</v>
      </c>
      <c r="M21" s="34" t="s">
        <v>812</v>
      </c>
      <c r="N21" s="98">
        <f>61+15</f>
        <v>76</v>
      </c>
      <c r="O21" s="98">
        <v>6</v>
      </c>
      <c r="P21" s="624">
        <f t="shared" si="0"/>
        <v>51.666666666666671</v>
      </c>
      <c r="Q21" s="624">
        <f t="shared" si="1"/>
        <v>11.666666666666666</v>
      </c>
    </row>
    <row r="22" spans="1:17">
      <c r="A22" s="244" t="s">
        <v>165</v>
      </c>
      <c r="B22" s="622">
        <f>SUM(C22,G22,H22,I22)</f>
        <v>154</v>
      </c>
      <c r="C22" s="620">
        <f>D22+E22</f>
        <v>87</v>
      </c>
      <c r="D22" s="620">
        <f>37+16</f>
        <v>53</v>
      </c>
      <c r="E22" s="620">
        <f>20+14</f>
        <v>34</v>
      </c>
      <c r="F22" s="622" t="s">
        <v>812</v>
      </c>
      <c r="G22" s="620">
        <f>19+35</f>
        <v>54</v>
      </c>
      <c r="H22" s="620">
        <f>1+9</f>
        <v>10</v>
      </c>
      <c r="I22" s="620">
        <v>3</v>
      </c>
      <c r="J22" s="622" t="s">
        <v>812</v>
      </c>
      <c r="K22" s="620">
        <f>36+13</f>
        <v>49</v>
      </c>
      <c r="L22" s="622" t="s">
        <v>812</v>
      </c>
      <c r="M22" s="622" t="s">
        <v>812</v>
      </c>
      <c r="N22" s="620">
        <f>46+17</f>
        <v>63</v>
      </c>
      <c r="O22" s="620">
        <f>12+8</f>
        <v>20</v>
      </c>
      <c r="P22" s="623">
        <f t="shared" si="0"/>
        <v>56.493506493506494</v>
      </c>
      <c r="Q22" s="634">
        <f t="shared" si="1"/>
        <v>6.4935064935064926</v>
      </c>
    </row>
    <row r="23" spans="1:17">
      <c r="A23" s="243" t="s">
        <v>962</v>
      </c>
      <c r="B23" s="35">
        <f>SUM(B24:B25)</f>
        <v>271</v>
      </c>
      <c r="C23" s="35">
        <f>SUM(C24:C25)</f>
        <v>138</v>
      </c>
      <c r="D23" s="35">
        <f>SUM(D24:D25)</f>
        <v>103</v>
      </c>
      <c r="E23" s="35">
        <f>SUM(E24:E25)</f>
        <v>35</v>
      </c>
      <c r="F23" s="34" t="s">
        <v>812</v>
      </c>
      <c r="G23" s="86">
        <f>SUM(G24:G25)</f>
        <v>101</v>
      </c>
      <c r="H23" s="86">
        <f>SUM(H24:H25)</f>
        <v>23</v>
      </c>
      <c r="I23" s="35">
        <f>SUM(I24:I25)</f>
        <v>9</v>
      </c>
      <c r="J23" s="34" t="s">
        <v>812</v>
      </c>
      <c r="K23" s="86">
        <f>SUM(K24:K25)</f>
        <v>88</v>
      </c>
      <c r="L23" s="86">
        <v>2</v>
      </c>
      <c r="M23" s="34" t="s">
        <v>812</v>
      </c>
      <c r="N23" s="35">
        <f>SUM(N24:N25)</f>
        <v>140</v>
      </c>
      <c r="O23" s="34">
        <f>SUM(O24:O25)</f>
        <v>41</v>
      </c>
      <c r="P23" s="633">
        <f t="shared" si="0"/>
        <v>50.922509225092249</v>
      </c>
      <c r="Q23" s="624">
        <f t="shared" si="1"/>
        <v>8.4870848708487081</v>
      </c>
    </row>
    <row r="24" spans="1:17">
      <c r="A24" s="247" t="s">
        <v>164</v>
      </c>
      <c r="B24" s="34">
        <f>SUM(C24,G24,H24,I24)</f>
        <v>117</v>
      </c>
      <c r="C24" s="98">
        <f>D24+E24</f>
        <v>63</v>
      </c>
      <c r="D24" s="98">
        <f>40+20</f>
        <v>60</v>
      </c>
      <c r="E24" s="98">
        <f>1+2</f>
        <v>3</v>
      </c>
      <c r="F24" s="34" t="s">
        <v>812</v>
      </c>
      <c r="G24" s="98">
        <f>31+12</f>
        <v>43</v>
      </c>
      <c r="H24" s="98">
        <f>5+5</f>
        <v>10</v>
      </c>
      <c r="I24" s="98">
        <v>1</v>
      </c>
      <c r="J24" s="34" t="s">
        <v>812</v>
      </c>
      <c r="K24" s="98">
        <f>31+11</f>
        <v>42</v>
      </c>
      <c r="L24" s="34" t="s">
        <v>812</v>
      </c>
      <c r="M24" s="34" t="s">
        <v>812</v>
      </c>
      <c r="N24" s="98">
        <f>68+20</f>
        <v>88</v>
      </c>
      <c r="O24" s="98">
        <f>1+2</f>
        <v>3</v>
      </c>
      <c r="P24" s="624">
        <f t="shared" si="0"/>
        <v>53.846153846153847</v>
      </c>
      <c r="Q24" s="624">
        <f t="shared" si="1"/>
        <v>8.5470085470085468</v>
      </c>
    </row>
    <row r="25" spans="1:17">
      <c r="A25" s="244" t="s">
        <v>165</v>
      </c>
      <c r="B25" s="622">
        <f>SUM(C25,G25,H25,I25)</f>
        <v>154</v>
      </c>
      <c r="C25" s="620">
        <f>D25+E25</f>
        <v>75</v>
      </c>
      <c r="D25" s="620">
        <f>37+6</f>
        <v>43</v>
      </c>
      <c r="E25" s="620">
        <f>16+16</f>
        <v>32</v>
      </c>
      <c r="F25" s="622" t="s">
        <v>812</v>
      </c>
      <c r="G25" s="620">
        <f>24+34</f>
        <v>58</v>
      </c>
      <c r="H25" s="620">
        <f>2+11</f>
        <v>13</v>
      </c>
      <c r="I25" s="620">
        <v>8</v>
      </c>
      <c r="J25" s="622" t="s">
        <v>812</v>
      </c>
      <c r="K25" s="620">
        <f>38+8</f>
        <v>46</v>
      </c>
      <c r="L25" s="620">
        <v>2</v>
      </c>
      <c r="M25" s="622" t="s">
        <v>812</v>
      </c>
      <c r="N25" s="620">
        <f>45+7</f>
        <v>52</v>
      </c>
      <c r="O25" s="620">
        <f>16+22</f>
        <v>38</v>
      </c>
      <c r="P25" s="623">
        <f t="shared" si="0"/>
        <v>48.701298701298704</v>
      </c>
      <c r="Q25" s="634">
        <f t="shared" si="1"/>
        <v>8.4415584415584419</v>
      </c>
    </row>
    <row r="26" spans="1:17">
      <c r="A26" s="243" t="s">
        <v>963</v>
      </c>
      <c r="B26" s="35">
        <f>SUM(B27:B28)</f>
        <v>274</v>
      </c>
      <c r="C26" s="35">
        <f>SUM(C27:C28)</f>
        <v>149</v>
      </c>
      <c r="D26" s="35">
        <f>SUM(D27:D28)</f>
        <v>109</v>
      </c>
      <c r="E26" s="35">
        <f>SUM(E27:E28)</f>
        <v>40</v>
      </c>
      <c r="F26" s="34" t="s">
        <v>812</v>
      </c>
      <c r="G26" s="86">
        <f>SUM(G27:G28)</f>
        <v>96</v>
      </c>
      <c r="H26" s="86">
        <f>SUM(H27:H28)</f>
        <v>24</v>
      </c>
      <c r="I26" s="35">
        <f>SUM(I27:I28)</f>
        <v>5</v>
      </c>
      <c r="J26" s="34" t="s">
        <v>812</v>
      </c>
      <c r="K26" s="86">
        <f>SUM(K27:K28)</f>
        <v>88</v>
      </c>
      <c r="L26" s="34" t="s">
        <v>812</v>
      </c>
      <c r="M26" s="34" t="s">
        <v>812</v>
      </c>
      <c r="N26" s="35">
        <f>SUM(N27:N28)</f>
        <v>139</v>
      </c>
      <c r="O26" s="35">
        <f>SUM(O27:O28)</f>
        <v>40</v>
      </c>
      <c r="P26" s="635">
        <f t="shared" si="0"/>
        <v>54.379562043795616</v>
      </c>
      <c r="Q26" s="625">
        <f t="shared" si="1"/>
        <v>8.7591240875912408</v>
      </c>
    </row>
    <row r="27" spans="1:17">
      <c r="A27" s="247" t="s">
        <v>164</v>
      </c>
      <c r="B27" s="34">
        <f>SUM(C27,G27,H27,I27)</f>
        <v>120</v>
      </c>
      <c r="C27" s="98">
        <f>D27+E27</f>
        <v>62</v>
      </c>
      <c r="D27" s="98">
        <f>41+15</f>
        <v>56</v>
      </c>
      <c r="E27" s="98">
        <f>1+5</f>
        <v>6</v>
      </c>
      <c r="F27" s="34" t="s">
        <v>812</v>
      </c>
      <c r="G27" s="98">
        <f>26+16</f>
        <v>42</v>
      </c>
      <c r="H27" s="98">
        <f>8+6</f>
        <v>14</v>
      </c>
      <c r="I27" s="98">
        <v>2</v>
      </c>
      <c r="J27" s="34" t="s">
        <v>812</v>
      </c>
      <c r="K27" s="98">
        <f>30+9</f>
        <v>39</v>
      </c>
      <c r="L27" s="34" t="s">
        <v>812</v>
      </c>
      <c r="M27" s="34" t="s">
        <v>812</v>
      </c>
      <c r="N27" s="98">
        <f>61+15</f>
        <v>76</v>
      </c>
      <c r="O27" s="98">
        <f>1+5</f>
        <v>6</v>
      </c>
      <c r="P27" s="624">
        <f t="shared" si="0"/>
        <v>51.666666666666671</v>
      </c>
      <c r="Q27" s="624">
        <f t="shared" si="1"/>
        <v>11.666666666666666</v>
      </c>
    </row>
    <row r="28" spans="1:17">
      <c r="A28" s="244" t="s">
        <v>165</v>
      </c>
      <c r="B28" s="622">
        <f>SUM(C28,G28,H28,I28)</f>
        <v>154</v>
      </c>
      <c r="C28" s="620">
        <f>D28+E28</f>
        <v>87</v>
      </c>
      <c r="D28" s="620">
        <f>37+16</f>
        <v>53</v>
      </c>
      <c r="E28" s="620">
        <f>20+14</f>
        <v>34</v>
      </c>
      <c r="F28" s="622" t="s">
        <v>812</v>
      </c>
      <c r="G28" s="620">
        <f>19+35</f>
        <v>54</v>
      </c>
      <c r="H28" s="620">
        <f>1+9</f>
        <v>10</v>
      </c>
      <c r="I28" s="620">
        <v>3</v>
      </c>
      <c r="J28" s="622" t="s">
        <v>812</v>
      </c>
      <c r="K28" s="620">
        <f>36+13</f>
        <v>49</v>
      </c>
      <c r="L28" s="622" t="s">
        <v>812</v>
      </c>
      <c r="M28" s="622" t="s">
        <v>812</v>
      </c>
      <c r="N28" s="620">
        <f>46+17</f>
        <v>63</v>
      </c>
      <c r="O28" s="620">
        <f>20+14</f>
        <v>34</v>
      </c>
      <c r="P28" s="623">
        <f t="shared" si="0"/>
        <v>56.493506493506494</v>
      </c>
      <c r="Q28" s="634">
        <f t="shared" si="1"/>
        <v>6.4935064935064926</v>
      </c>
    </row>
    <row r="29" spans="1:17">
      <c r="A29" s="243" t="s">
        <v>964</v>
      </c>
      <c r="B29" s="35">
        <f>SUM(B30:B31)</f>
        <v>291</v>
      </c>
      <c r="C29" s="35">
        <f>SUM(C30:C31)</f>
        <v>131</v>
      </c>
      <c r="D29" s="35">
        <f>SUM(D30:D31)</f>
        <v>95</v>
      </c>
      <c r="E29" s="35">
        <f>SUM(E30:E31)</f>
        <v>36</v>
      </c>
      <c r="F29" s="34" t="s">
        <v>812</v>
      </c>
      <c r="G29" s="226">
        <f>SUM(G30:G31)</f>
        <v>114</v>
      </c>
      <c r="H29" s="86">
        <f>SUM(H30:H31)</f>
        <v>41</v>
      </c>
      <c r="I29" s="35">
        <f>SUM(I30:I31)</f>
        <v>5</v>
      </c>
      <c r="J29" s="34" t="s">
        <v>812</v>
      </c>
      <c r="K29" s="226">
        <f>SUM(K30:K31)</f>
        <v>72</v>
      </c>
      <c r="L29" s="34" t="s">
        <v>812</v>
      </c>
      <c r="M29" s="34" t="s">
        <v>812</v>
      </c>
      <c r="N29" s="35">
        <f>SUM(N30:N31)</f>
        <v>141</v>
      </c>
      <c r="O29" s="35">
        <f>SUM(O30:O31)</f>
        <v>26</v>
      </c>
      <c r="P29" s="635">
        <f t="shared" si="0"/>
        <v>45.017182130584196</v>
      </c>
      <c r="Q29" s="625">
        <f t="shared" si="1"/>
        <v>14.0893470790378</v>
      </c>
    </row>
    <row r="30" spans="1:17">
      <c r="A30" s="247" t="s">
        <v>164</v>
      </c>
      <c r="B30" s="34">
        <f>SUM(C30,G30,H30,I30)</f>
        <v>152</v>
      </c>
      <c r="C30" s="98">
        <f>D30+E30</f>
        <v>73</v>
      </c>
      <c r="D30" s="98">
        <f>54+13</f>
        <v>67</v>
      </c>
      <c r="E30" s="98">
        <v>6</v>
      </c>
      <c r="F30" s="34" t="s">
        <v>812</v>
      </c>
      <c r="G30" s="98">
        <f>39+20</f>
        <v>59</v>
      </c>
      <c r="H30" s="98">
        <f>7+10</f>
        <v>17</v>
      </c>
      <c r="I30" s="98">
        <v>3</v>
      </c>
      <c r="J30" s="34" t="s">
        <v>812</v>
      </c>
      <c r="K30" s="98">
        <f>45+9</f>
        <v>54</v>
      </c>
      <c r="L30" s="34" t="s">
        <v>812</v>
      </c>
      <c r="M30" s="34" t="s">
        <v>812</v>
      </c>
      <c r="N30" s="98">
        <f>62+13</f>
        <v>75</v>
      </c>
      <c r="O30" s="98">
        <v>6</v>
      </c>
      <c r="P30" s="624">
        <f t="shared" si="0"/>
        <v>48.026315789473685</v>
      </c>
      <c r="Q30" s="624">
        <f t="shared" si="1"/>
        <v>11.184210526315789</v>
      </c>
    </row>
    <row r="31" spans="1:17">
      <c r="A31" s="244" t="s">
        <v>165</v>
      </c>
      <c r="B31" s="622">
        <f>SUM(C31,G31,H31,I31)</f>
        <v>139</v>
      </c>
      <c r="C31" s="620">
        <f>D31+E31</f>
        <v>58</v>
      </c>
      <c r="D31" s="620">
        <f>23+5</f>
        <v>28</v>
      </c>
      <c r="E31" s="620">
        <f>12+18</f>
        <v>30</v>
      </c>
      <c r="F31" s="622" t="s">
        <v>812</v>
      </c>
      <c r="G31" s="620">
        <f>23+32</f>
        <v>55</v>
      </c>
      <c r="H31" s="620">
        <f>5+19</f>
        <v>24</v>
      </c>
      <c r="I31" s="620">
        <v>2</v>
      </c>
      <c r="J31" s="622" t="s">
        <v>812</v>
      </c>
      <c r="K31" s="620">
        <f>14+4</f>
        <v>18</v>
      </c>
      <c r="L31" s="622" t="s">
        <v>812</v>
      </c>
      <c r="M31" s="622" t="s">
        <v>812</v>
      </c>
      <c r="N31" s="620">
        <f>61+5</f>
        <v>66</v>
      </c>
      <c r="O31" s="620">
        <f>12+8</f>
        <v>20</v>
      </c>
      <c r="P31" s="623">
        <f t="shared" si="0"/>
        <v>41.726618705035975</v>
      </c>
      <c r="Q31" s="634">
        <f t="shared" si="1"/>
        <v>17.266187050359711</v>
      </c>
    </row>
    <row r="32" spans="1:17">
      <c r="A32" s="247" t="s">
        <v>965</v>
      </c>
      <c r="B32" s="34">
        <f>SUM(B33:B34)</f>
        <v>271</v>
      </c>
      <c r="C32" s="34">
        <f>SUM(C33:C34)</f>
        <v>123</v>
      </c>
      <c r="D32" s="34">
        <f>SUM(D33:D34)</f>
        <v>95</v>
      </c>
      <c r="E32" s="34">
        <f>SUM(E33:E34)</f>
        <v>28</v>
      </c>
      <c r="F32" s="34" t="s">
        <v>812</v>
      </c>
      <c r="G32" s="226">
        <f>SUM(G33:G34)</f>
        <v>103</v>
      </c>
      <c r="H32" s="98">
        <f>SUM(H33:H34)</f>
        <v>38</v>
      </c>
      <c r="I32" s="34">
        <f>SUM(I33:I34)</f>
        <v>7</v>
      </c>
      <c r="J32" s="34" t="s">
        <v>812</v>
      </c>
      <c r="K32" s="226">
        <f>SUM(K33:K34)</f>
        <v>87</v>
      </c>
      <c r="L32" s="34" t="s">
        <v>812</v>
      </c>
      <c r="M32" s="34" t="s">
        <v>812</v>
      </c>
      <c r="N32" s="34">
        <f>SUM(N33:N34)</f>
        <v>136</v>
      </c>
      <c r="O32" s="34">
        <f>SUM(O33:O34)</f>
        <v>28</v>
      </c>
      <c r="P32" s="633">
        <f t="shared" si="0"/>
        <v>45.38745387453875</v>
      </c>
      <c r="Q32" s="624">
        <f t="shared" si="1"/>
        <v>14.022140221402212</v>
      </c>
    </row>
    <row r="33" spans="1:17">
      <c r="A33" s="247" t="s">
        <v>164</v>
      </c>
      <c r="B33" s="34">
        <f>SUM(C33,G33,H33,I33)</f>
        <v>118</v>
      </c>
      <c r="C33" s="98">
        <f>D33+E33</f>
        <v>55</v>
      </c>
      <c r="D33" s="98">
        <f>41+11</f>
        <v>52</v>
      </c>
      <c r="E33" s="98">
        <f>1+2</f>
        <v>3</v>
      </c>
      <c r="F33" s="34" t="s">
        <v>812</v>
      </c>
      <c r="G33" s="98">
        <f>32+15</f>
        <v>47</v>
      </c>
      <c r="H33" s="98">
        <f>8+6</f>
        <v>14</v>
      </c>
      <c r="I33" s="98">
        <v>2</v>
      </c>
      <c r="J33" s="34" t="s">
        <v>812</v>
      </c>
      <c r="K33" s="98">
        <f>37+8</f>
        <v>45</v>
      </c>
      <c r="L33" s="34" t="s">
        <v>812</v>
      </c>
      <c r="M33" s="34" t="s">
        <v>812</v>
      </c>
      <c r="N33" s="98">
        <f>68+12</f>
        <v>80</v>
      </c>
      <c r="O33" s="98">
        <f>1+2</f>
        <v>3</v>
      </c>
      <c r="P33" s="624">
        <f t="shared" si="0"/>
        <v>46.610169491525419</v>
      </c>
      <c r="Q33" s="624">
        <f t="shared" si="1"/>
        <v>11.864406779661017</v>
      </c>
    </row>
    <row r="34" spans="1:17">
      <c r="A34" s="244" t="s">
        <v>165</v>
      </c>
      <c r="B34" s="622">
        <f>SUM(C34,G34,H34,I34)</f>
        <v>153</v>
      </c>
      <c r="C34" s="620">
        <f>D34+E34</f>
        <v>68</v>
      </c>
      <c r="D34" s="620">
        <f>35+8</f>
        <v>43</v>
      </c>
      <c r="E34" s="620">
        <f>11+14</f>
        <v>25</v>
      </c>
      <c r="F34" s="622" t="s">
        <v>812</v>
      </c>
      <c r="G34" s="620">
        <f>24+32</f>
        <v>56</v>
      </c>
      <c r="H34" s="620">
        <f>2+22</f>
        <v>24</v>
      </c>
      <c r="I34" s="620">
        <v>5</v>
      </c>
      <c r="J34" s="622" t="s">
        <v>812</v>
      </c>
      <c r="K34" s="620">
        <f>33+9</f>
        <v>42</v>
      </c>
      <c r="L34" s="622" t="s">
        <v>812</v>
      </c>
      <c r="M34" s="622" t="s">
        <v>812</v>
      </c>
      <c r="N34" s="620">
        <f>48+8</f>
        <v>56</v>
      </c>
      <c r="O34" s="620">
        <f>11+14</f>
        <v>25</v>
      </c>
      <c r="P34" s="623">
        <f t="shared" si="0"/>
        <v>44.444444444444443</v>
      </c>
      <c r="Q34" s="634">
        <f t="shared" si="1"/>
        <v>15.686274509803921</v>
      </c>
    </row>
    <row r="35" spans="1:17">
      <c r="A35" s="247" t="s">
        <v>966</v>
      </c>
      <c r="B35" s="34">
        <v>274</v>
      </c>
      <c r="C35" s="34">
        <v>137</v>
      </c>
      <c r="D35" s="34">
        <v>105</v>
      </c>
      <c r="E35" s="34">
        <v>32</v>
      </c>
      <c r="F35" s="34" t="s">
        <v>812</v>
      </c>
      <c r="G35" s="224">
        <v>53</v>
      </c>
      <c r="H35" s="98">
        <v>36</v>
      </c>
      <c r="I35" s="34">
        <v>6</v>
      </c>
      <c r="J35" s="34" t="s">
        <v>812</v>
      </c>
      <c r="K35" s="224">
        <v>86</v>
      </c>
      <c r="L35" s="34" t="s">
        <v>812</v>
      </c>
      <c r="M35" s="34" t="s">
        <v>812</v>
      </c>
      <c r="N35" s="34">
        <v>126</v>
      </c>
      <c r="O35" s="34">
        <v>32</v>
      </c>
      <c r="P35" s="633">
        <f t="shared" ref="P35:P61" si="2">+C35/B35*100</f>
        <v>50</v>
      </c>
      <c r="Q35" s="624">
        <f t="shared" ref="Q35:Q61" si="3">+H35/B35*100</f>
        <v>13.138686131386862</v>
      </c>
    </row>
    <row r="36" spans="1:17">
      <c r="A36" s="247" t="s">
        <v>164</v>
      </c>
      <c r="B36" s="34">
        <v>113</v>
      </c>
      <c r="C36" s="98">
        <v>56</v>
      </c>
      <c r="D36" s="98">
        <v>54</v>
      </c>
      <c r="E36" s="98">
        <v>2</v>
      </c>
      <c r="F36" s="34" t="s">
        <v>812</v>
      </c>
      <c r="G36" s="98">
        <v>24</v>
      </c>
      <c r="H36" s="98">
        <v>11</v>
      </c>
      <c r="I36" s="98">
        <v>3</v>
      </c>
      <c r="J36" s="34" t="s">
        <v>812</v>
      </c>
      <c r="K36" s="98">
        <v>40</v>
      </c>
      <c r="L36" s="34" t="s">
        <v>812</v>
      </c>
      <c r="M36" s="34" t="s">
        <v>812</v>
      </c>
      <c r="N36" s="98">
        <v>69</v>
      </c>
      <c r="O36" s="98">
        <v>2</v>
      </c>
      <c r="P36" s="624">
        <f t="shared" si="2"/>
        <v>49.557522123893804</v>
      </c>
      <c r="Q36" s="624">
        <f t="shared" si="3"/>
        <v>9.7345132743362832</v>
      </c>
    </row>
    <row r="37" spans="1:17">
      <c r="A37" s="244" t="s">
        <v>165</v>
      </c>
      <c r="B37" s="622">
        <v>161</v>
      </c>
      <c r="C37" s="620">
        <v>81</v>
      </c>
      <c r="D37" s="620">
        <v>51</v>
      </c>
      <c r="E37" s="620">
        <v>30</v>
      </c>
      <c r="F37" s="622" t="s">
        <v>812</v>
      </c>
      <c r="G37" s="620">
        <v>29</v>
      </c>
      <c r="H37" s="620">
        <v>25</v>
      </c>
      <c r="I37" s="620">
        <v>3</v>
      </c>
      <c r="J37" s="622" t="s">
        <v>812</v>
      </c>
      <c r="K37" s="620">
        <v>46</v>
      </c>
      <c r="L37" s="622" t="s">
        <v>812</v>
      </c>
      <c r="M37" s="622" t="s">
        <v>812</v>
      </c>
      <c r="N37" s="620">
        <v>57</v>
      </c>
      <c r="O37" s="620">
        <v>30</v>
      </c>
      <c r="P37" s="623">
        <f t="shared" si="2"/>
        <v>50.310559006211179</v>
      </c>
      <c r="Q37" s="634">
        <f t="shared" si="3"/>
        <v>15.527950310559005</v>
      </c>
    </row>
    <row r="38" spans="1:17">
      <c r="A38" s="247" t="s">
        <v>967</v>
      </c>
      <c r="B38" s="34">
        <f>SUM(B39:B40)</f>
        <v>253</v>
      </c>
      <c r="C38" s="34">
        <f>SUM(C39:C40)</f>
        <v>128</v>
      </c>
      <c r="D38" s="34">
        <f>SUM(D39:D40)</f>
        <v>103</v>
      </c>
      <c r="E38" s="34">
        <f>SUM(E39:E40)</f>
        <v>25</v>
      </c>
      <c r="F38" s="34" t="s">
        <v>812</v>
      </c>
      <c r="G38" s="226">
        <f>SUM(G39:G40)</f>
        <v>53</v>
      </c>
      <c r="H38" s="98">
        <f>SUM(H39:H40)</f>
        <v>40</v>
      </c>
      <c r="I38" s="34">
        <f>SUM(I39:I40)</f>
        <v>1</v>
      </c>
      <c r="J38" s="34" t="s">
        <v>812</v>
      </c>
      <c r="K38" s="226">
        <f>SUM(K39:K40)</f>
        <v>69</v>
      </c>
      <c r="L38" s="34" t="s">
        <v>812</v>
      </c>
      <c r="M38" s="34" t="s">
        <v>812</v>
      </c>
      <c r="N38" s="34">
        <f>SUM(N39:N40)</f>
        <v>110</v>
      </c>
      <c r="O38" s="34">
        <f>SUM(O39:O40)</f>
        <v>25</v>
      </c>
      <c r="P38" s="633">
        <f t="shared" si="2"/>
        <v>50.59288537549407</v>
      </c>
      <c r="Q38" s="624">
        <f t="shared" si="3"/>
        <v>15.810276679841898</v>
      </c>
    </row>
    <row r="39" spans="1:17">
      <c r="A39" s="247" t="s">
        <v>164</v>
      </c>
      <c r="B39" s="34">
        <v>103</v>
      </c>
      <c r="C39" s="98">
        <f>D39+E39</f>
        <v>49</v>
      </c>
      <c r="D39" s="98">
        <f>38+9</f>
        <v>47</v>
      </c>
      <c r="E39" s="98">
        <f>2</f>
        <v>2</v>
      </c>
      <c r="F39" s="34" t="s">
        <v>812</v>
      </c>
      <c r="G39" s="98">
        <v>18</v>
      </c>
      <c r="H39" s="98">
        <f>9+8</f>
        <v>17</v>
      </c>
      <c r="I39" s="98" t="s">
        <v>812</v>
      </c>
      <c r="J39" s="34" t="s">
        <v>812</v>
      </c>
      <c r="K39" s="98">
        <f>31+5</f>
        <v>36</v>
      </c>
      <c r="L39" s="34" t="s">
        <v>812</v>
      </c>
      <c r="M39" s="34" t="s">
        <v>812</v>
      </c>
      <c r="N39" s="98">
        <f>52+11</f>
        <v>63</v>
      </c>
      <c r="O39" s="98">
        <f>2</f>
        <v>2</v>
      </c>
      <c r="P39" s="624">
        <f t="shared" si="2"/>
        <v>47.572815533980581</v>
      </c>
      <c r="Q39" s="624">
        <f t="shared" si="3"/>
        <v>16.50485436893204</v>
      </c>
    </row>
    <row r="40" spans="1:17">
      <c r="A40" s="244" t="s">
        <v>165</v>
      </c>
      <c r="B40" s="622">
        <v>150</v>
      </c>
      <c r="C40" s="620">
        <f>D40+E40</f>
        <v>79</v>
      </c>
      <c r="D40" s="620">
        <f>34+22</f>
        <v>56</v>
      </c>
      <c r="E40" s="620">
        <f>9+14</f>
        <v>23</v>
      </c>
      <c r="F40" s="622" t="s">
        <v>812</v>
      </c>
      <c r="G40" s="620">
        <v>35</v>
      </c>
      <c r="H40" s="620">
        <f>3+20</f>
        <v>23</v>
      </c>
      <c r="I40" s="620">
        <v>1</v>
      </c>
      <c r="J40" s="622" t="s">
        <v>812</v>
      </c>
      <c r="K40" s="620">
        <f>26+7</f>
        <v>33</v>
      </c>
      <c r="L40" s="622" t="s">
        <v>812</v>
      </c>
      <c r="M40" s="622" t="s">
        <v>812</v>
      </c>
      <c r="N40" s="620">
        <f>39+8</f>
        <v>47</v>
      </c>
      <c r="O40" s="620">
        <f>9+14</f>
        <v>23</v>
      </c>
      <c r="P40" s="623">
        <f t="shared" si="2"/>
        <v>52.666666666666664</v>
      </c>
      <c r="Q40" s="634">
        <f t="shared" si="3"/>
        <v>15.333333333333332</v>
      </c>
    </row>
    <row r="41" spans="1:17">
      <c r="A41" s="247" t="s">
        <v>968</v>
      </c>
      <c r="B41" s="34">
        <v>236</v>
      </c>
      <c r="C41" s="34">
        <v>116</v>
      </c>
      <c r="D41" s="34">
        <v>86</v>
      </c>
      <c r="E41" s="34">
        <v>29</v>
      </c>
      <c r="F41" s="34">
        <v>1</v>
      </c>
      <c r="G41" s="98">
        <v>92</v>
      </c>
      <c r="H41" s="98">
        <v>17</v>
      </c>
      <c r="I41" s="34">
        <v>4</v>
      </c>
      <c r="J41" s="34" t="s">
        <v>812</v>
      </c>
      <c r="K41" s="98">
        <v>66</v>
      </c>
      <c r="L41" s="34" t="s">
        <v>812</v>
      </c>
      <c r="M41" s="34" t="s">
        <v>812</v>
      </c>
      <c r="N41" s="34">
        <v>106</v>
      </c>
      <c r="O41" s="34">
        <v>29</v>
      </c>
      <c r="P41" s="619">
        <f t="shared" si="2"/>
        <v>49.152542372881356</v>
      </c>
      <c r="Q41" s="636">
        <f t="shared" si="3"/>
        <v>7.2033898305084749</v>
      </c>
    </row>
    <row r="42" spans="1:17">
      <c r="A42" s="247" t="s">
        <v>164</v>
      </c>
      <c r="B42" s="34">
        <v>109</v>
      </c>
      <c r="C42" s="34">
        <v>55</v>
      </c>
      <c r="D42" s="34">
        <v>50</v>
      </c>
      <c r="E42" s="34">
        <v>4</v>
      </c>
      <c r="F42" s="34">
        <v>1</v>
      </c>
      <c r="G42" s="98">
        <v>44</v>
      </c>
      <c r="H42" s="98">
        <v>13</v>
      </c>
      <c r="I42" s="34">
        <v>1</v>
      </c>
      <c r="J42" s="34" t="s">
        <v>812</v>
      </c>
      <c r="K42" s="98">
        <v>36</v>
      </c>
      <c r="L42" s="34" t="s">
        <v>812</v>
      </c>
      <c r="M42" s="34" t="s">
        <v>812</v>
      </c>
      <c r="N42" s="34">
        <v>66</v>
      </c>
      <c r="O42" s="34">
        <v>4</v>
      </c>
      <c r="P42" s="619">
        <f t="shared" si="2"/>
        <v>50.458715596330272</v>
      </c>
      <c r="Q42" s="636">
        <f t="shared" si="3"/>
        <v>11.926605504587156</v>
      </c>
    </row>
    <row r="43" spans="1:17">
      <c r="A43" s="244" t="s">
        <v>165</v>
      </c>
      <c r="B43" s="622">
        <v>127</v>
      </c>
      <c r="C43" s="622">
        <v>61</v>
      </c>
      <c r="D43" s="622">
        <v>36</v>
      </c>
      <c r="E43" s="622">
        <v>25</v>
      </c>
      <c r="F43" s="622" t="s">
        <v>812</v>
      </c>
      <c r="G43" s="620">
        <v>48</v>
      </c>
      <c r="H43" s="620">
        <v>4</v>
      </c>
      <c r="I43" s="622">
        <v>3</v>
      </c>
      <c r="J43" s="622" t="s">
        <v>812</v>
      </c>
      <c r="K43" s="620">
        <v>30</v>
      </c>
      <c r="L43" s="622" t="s">
        <v>812</v>
      </c>
      <c r="M43" s="622" t="s">
        <v>812</v>
      </c>
      <c r="N43" s="622">
        <v>40</v>
      </c>
      <c r="O43" s="622">
        <v>25</v>
      </c>
      <c r="P43" s="637">
        <f t="shared" si="2"/>
        <v>48.031496062992126</v>
      </c>
      <c r="Q43" s="634">
        <f t="shared" si="3"/>
        <v>3.1496062992125982</v>
      </c>
    </row>
    <row r="44" spans="1:17">
      <c r="A44" s="243" t="s">
        <v>969</v>
      </c>
      <c r="B44" s="35">
        <v>234</v>
      </c>
      <c r="C44" s="35">
        <v>126</v>
      </c>
      <c r="D44" s="35">
        <v>96</v>
      </c>
      <c r="E44" s="35">
        <v>30</v>
      </c>
      <c r="F44" s="35" t="s">
        <v>812</v>
      </c>
      <c r="G44" s="86">
        <v>71</v>
      </c>
      <c r="H44" s="86">
        <v>34</v>
      </c>
      <c r="I44" s="35">
        <v>3</v>
      </c>
      <c r="J44" s="35" t="s">
        <v>812</v>
      </c>
      <c r="K44" s="86">
        <v>58</v>
      </c>
      <c r="L44" s="35" t="s">
        <v>812</v>
      </c>
      <c r="M44" s="35" t="s">
        <v>812</v>
      </c>
      <c r="N44" s="35">
        <v>119</v>
      </c>
      <c r="O44" s="35">
        <v>30</v>
      </c>
      <c r="P44" s="638">
        <f t="shared" si="2"/>
        <v>53.846153846153847</v>
      </c>
      <c r="Q44" s="639">
        <f t="shared" si="3"/>
        <v>14.529914529914532</v>
      </c>
    </row>
    <row r="45" spans="1:17">
      <c r="A45" s="247" t="s">
        <v>164</v>
      </c>
      <c r="B45" s="34">
        <v>109</v>
      </c>
      <c r="C45" s="34">
        <v>57</v>
      </c>
      <c r="D45" s="34">
        <v>56</v>
      </c>
      <c r="E45" s="34">
        <v>1</v>
      </c>
      <c r="F45" s="34" t="s">
        <v>812</v>
      </c>
      <c r="G45" s="98">
        <v>36</v>
      </c>
      <c r="H45" s="98">
        <v>16</v>
      </c>
      <c r="I45" s="34">
        <v>0</v>
      </c>
      <c r="J45" s="34" t="s">
        <v>812</v>
      </c>
      <c r="K45" s="98">
        <v>35</v>
      </c>
      <c r="L45" s="34" t="s">
        <v>812</v>
      </c>
      <c r="M45" s="34" t="s">
        <v>812</v>
      </c>
      <c r="N45" s="34">
        <v>69</v>
      </c>
      <c r="O45" s="34">
        <v>1</v>
      </c>
      <c r="P45" s="619">
        <f t="shared" si="2"/>
        <v>52.293577981651374</v>
      </c>
      <c r="Q45" s="636">
        <f t="shared" si="3"/>
        <v>14.678899082568808</v>
      </c>
    </row>
    <row r="46" spans="1:17">
      <c r="A46" s="244" t="s">
        <v>165</v>
      </c>
      <c r="B46" s="622">
        <v>125</v>
      </c>
      <c r="C46" s="622">
        <v>69</v>
      </c>
      <c r="D46" s="622">
        <v>40</v>
      </c>
      <c r="E46" s="622">
        <v>29</v>
      </c>
      <c r="F46" s="622" t="s">
        <v>812</v>
      </c>
      <c r="G46" s="620">
        <v>35</v>
      </c>
      <c r="H46" s="620">
        <v>18</v>
      </c>
      <c r="I46" s="622">
        <v>3</v>
      </c>
      <c r="J46" s="622" t="s">
        <v>812</v>
      </c>
      <c r="K46" s="620">
        <v>23</v>
      </c>
      <c r="L46" s="622" t="s">
        <v>812</v>
      </c>
      <c r="M46" s="622" t="s">
        <v>812</v>
      </c>
      <c r="N46" s="622">
        <v>50</v>
      </c>
      <c r="O46" s="622">
        <v>29</v>
      </c>
      <c r="P46" s="637">
        <f t="shared" si="2"/>
        <v>55.2</v>
      </c>
      <c r="Q46" s="634">
        <f t="shared" si="3"/>
        <v>14.399999999999999</v>
      </c>
    </row>
    <row r="47" spans="1:17">
      <c r="A47" s="243" t="s">
        <v>970</v>
      </c>
      <c r="B47" s="35">
        <v>231</v>
      </c>
      <c r="C47" s="35">
        <v>107</v>
      </c>
      <c r="D47" s="35">
        <v>96</v>
      </c>
      <c r="E47" s="35">
        <v>11</v>
      </c>
      <c r="F47" s="35" t="s">
        <v>812</v>
      </c>
      <c r="G47" s="86">
        <v>90</v>
      </c>
      <c r="H47" s="86">
        <v>21</v>
      </c>
      <c r="I47" s="35">
        <v>11</v>
      </c>
      <c r="J47" s="35" t="s">
        <v>812</v>
      </c>
      <c r="K47" s="86">
        <v>86</v>
      </c>
      <c r="L47" s="35" t="s">
        <v>812</v>
      </c>
      <c r="M47" s="35" t="s">
        <v>812</v>
      </c>
      <c r="N47" s="35">
        <v>140</v>
      </c>
      <c r="O47" s="35">
        <v>18</v>
      </c>
      <c r="P47" s="638">
        <f t="shared" si="2"/>
        <v>46.320346320346324</v>
      </c>
      <c r="Q47" s="639">
        <f t="shared" si="3"/>
        <v>9.0909090909090917</v>
      </c>
    </row>
    <row r="48" spans="1:17">
      <c r="A48" s="247" t="s">
        <v>164</v>
      </c>
      <c r="B48" s="34">
        <v>119</v>
      </c>
      <c r="C48" s="34">
        <v>59</v>
      </c>
      <c r="D48" s="34">
        <v>58</v>
      </c>
      <c r="E48" s="34">
        <v>1</v>
      </c>
      <c r="F48" s="34" t="s">
        <v>812</v>
      </c>
      <c r="G48" s="98">
        <v>39</v>
      </c>
      <c r="H48" s="98">
        <v>14</v>
      </c>
      <c r="I48" s="34">
        <v>7</v>
      </c>
      <c r="J48" s="34" t="s">
        <v>812</v>
      </c>
      <c r="K48" s="98">
        <v>47</v>
      </c>
      <c r="L48" s="34" t="s">
        <v>812</v>
      </c>
      <c r="M48" s="34" t="s">
        <v>812</v>
      </c>
      <c r="N48" s="34">
        <v>76</v>
      </c>
      <c r="O48" s="34">
        <v>2</v>
      </c>
      <c r="P48" s="619">
        <f t="shared" si="2"/>
        <v>49.579831932773111</v>
      </c>
      <c r="Q48" s="636">
        <f t="shared" si="3"/>
        <v>11.76470588235294</v>
      </c>
    </row>
    <row r="49" spans="1:17">
      <c r="A49" s="244" t="s">
        <v>165</v>
      </c>
      <c r="B49" s="622">
        <v>112</v>
      </c>
      <c r="C49" s="622">
        <v>48</v>
      </c>
      <c r="D49" s="622">
        <v>38</v>
      </c>
      <c r="E49" s="622">
        <v>10</v>
      </c>
      <c r="F49" s="622" t="s">
        <v>812</v>
      </c>
      <c r="G49" s="620">
        <v>51</v>
      </c>
      <c r="H49" s="620">
        <v>7</v>
      </c>
      <c r="I49" s="622">
        <v>4</v>
      </c>
      <c r="J49" s="622" t="s">
        <v>812</v>
      </c>
      <c r="K49" s="620">
        <v>39</v>
      </c>
      <c r="L49" s="622" t="s">
        <v>812</v>
      </c>
      <c r="M49" s="622" t="s">
        <v>812</v>
      </c>
      <c r="N49" s="622">
        <v>64</v>
      </c>
      <c r="O49" s="622">
        <v>16</v>
      </c>
      <c r="P49" s="637">
        <f t="shared" si="2"/>
        <v>42.857142857142854</v>
      </c>
      <c r="Q49" s="634">
        <f t="shared" si="3"/>
        <v>6.25</v>
      </c>
    </row>
    <row r="50" spans="1:17">
      <c r="A50" s="247" t="s">
        <v>971</v>
      </c>
      <c r="B50" s="34">
        <v>223</v>
      </c>
      <c r="C50" s="34">
        <v>131</v>
      </c>
      <c r="D50" s="34">
        <v>105</v>
      </c>
      <c r="E50" s="34">
        <v>26</v>
      </c>
      <c r="F50" s="34" t="s">
        <v>685</v>
      </c>
      <c r="G50" s="224">
        <v>67</v>
      </c>
      <c r="H50" s="98">
        <v>15</v>
      </c>
      <c r="I50" s="34">
        <v>4</v>
      </c>
      <c r="J50" s="34" t="s">
        <v>685</v>
      </c>
      <c r="K50" s="224">
        <v>99</v>
      </c>
      <c r="L50" s="34" t="s">
        <v>685</v>
      </c>
      <c r="M50" s="34" t="s">
        <v>685</v>
      </c>
      <c r="N50" s="34">
        <v>121</v>
      </c>
      <c r="O50" s="34">
        <v>28</v>
      </c>
      <c r="P50" s="633">
        <f t="shared" si="2"/>
        <v>58.744394618834086</v>
      </c>
      <c r="Q50" s="624">
        <f t="shared" si="3"/>
        <v>6.7264573991031389</v>
      </c>
    </row>
    <row r="51" spans="1:17">
      <c r="A51" s="247" t="s">
        <v>164</v>
      </c>
      <c r="B51" s="34">
        <v>99</v>
      </c>
      <c r="C51" s="98">
        <v>63</v>
      </c>
      <c r="D51" s="98">
        <v>61</v>
      </c>
      <c r="E51" s="98">
        <v>2</v>
      </c>
      <c r="F51" s="34" t="s">
        <v>685</v>
      </c>
      <c r="G51" s="98">
        <v>23</v>
      </c>
      <c r="H51" s="98">
        <v>7</v>
      </c>
      <c r="I51" s="98">
        <v>1</v>
      </c>
      <c r="J51" s="34" t="s">
        <v>685</v>
      </c>
      <c r="K51" s="98">
        <v>53</v>
      </c>
      <c r="L51" s="34" t="s">
        <v>685</v>
      </c>
      <c r="M51" s="34" t="s">
        <v>685</v>
      </c>
      <c r="N51" s="98">
        <v>68</v>
      </c>
      <c r="O51" s="98">
        <v>2</v>
      </c>
      <c r="P51" s="633">
        <f t="shared" si="2"/>
        <v>63.636363636363633</v>
      </c>
      <c r="Q51" s="624">
        <f t="shared" si="3"/>
        <v>7.0707070707070701</v>
      </c>
    </row>
    <row r="52" spans="1:17">
      <c r="A52" s="244" t="s">
        <v>165</v>
      </c>
      <c r="B52" s="622">
        <v>124</v>
      </c>
      <c r="C52" s="620">
        <v>68</v>
      </c>
      <c r="D52" s="620">
        <v>44</v>
      </c>
      <c r="E52" s="620">
        <v>24</v>
      </c>
      <c r="F52" s="622" t="s">
        <v>685</v>
      </c>
      <c r="G52" s="620">
        <v>44</v>
      </c>
      <c r="H52" s="620">
        <v>8</v>
      </c>
      <c r="I52" s="620">
        <v>3</v>
      </c>
      <c r="J52" s="622" t="s">
        <v>685</v>
      </c>
      <c r="K52" s="620">
        <v>46</v>
      </c>
      <c r="L52" s="622" t="s">
        <v>685</v>
      </c>
      <c r="M52" s="622" t="s">
        <v>685</v>
      </c>
      <c r="N52" s="620">
        <v>53</v>
      </c>
      <c r="O52" s="620">
        <v>26</v>
      </c>
      <c r="P52" s="640">
        <f t="shared" si="2"/>
        <v>54.838709677419352</v>
      </c>
      <c r="Q52" s="623">
        <f t="shared" si="3"/>
        <v>6.4516129032258061</v>
      </c>
    </row>
    <row r="53" spans="1:17">
      <c r="A53" s="243" t="s">
        <v>972</v>
      </c>
      <c r="B53" s="641">
        <v>220</v>
      </c>
      <c r="C53" s="641">
        <v>115</v>
      </c>
      <c r="D53" s="641">
        <v>99</v>
      </c>
      <c r="E53" s="641">
        <v>16</v>
      </c>
      <c r="F53" s="641" t="s">
        <v>812</v>
      </c>
      <c r="G53" s="642">
        <v>63</v>
      </c>
      <c r="H53" s="643">
        <v>26</v>
      </c>
      <c r="I53" s="641">
        <v>3</v>
      </c>
      <c r="J53" s="641" t="s">
        <v>812</v>
      </c>
      <c r="K53" s="642">
        <v>82</v>
      </c>
      <c r="L53" s="641" t="s">
        <v>812</v>
      </c>
      <c r="M53" s="641" t="s">
        <v>812</v>
      </c>
      <c r="N53" s="641">
        <v>125</v>
      </c>
      <c r="O53" s="641">
        <v>16</v>
      </c>
      <c r="P53" s="644">
        <f t="shared" si="2"/>
        <v>52.272727272727273</v>
      </c>
      <c r="Q53" s="645">
        <f t="shared" si="3"/>
        <v>11.818181818181818</v>
      </c>
    </row>
    <row r="54" spans="1:17">
      <c r="A54" s="247" t="s">
        <v>164</v>
      </c>
      <c r="B54" s="646">
        <v>104</v>
      </c>
      <c r="C54" s="647">
        <v>54</v>
      </c>
      <c r="D54" s="647">
        <v>51</v>
      </c>
      <c r="E54" s="647">
        <v>3</v>
      </c>
      <c r="F54" s="646" t="s">
        <v>812</v>
      </c>
      <c r="G54" s="647">
        <v>31</v>
      </c>
      <c r="H54" s="647">
        <v>8</v>
      </c>
      <c r="I54" s="647">
        <v>0</v>
      </c>
      <c r="J54" s="646" t="s">
        <v>812</v>
      </c>
      <c r="K54" s="647">
        <v>38</v>
      </c>
      <c r="L54" s="646" t="s">
        <v>812</v>
      </c>
      <c r="M54" s="646" t="s">
        <v>812</v>
      </c>
      <c r="N54" s="647">
        <v>59</v>
      </c>
      <c r="O54" s="647">
        <v>3</v>
      </c>
      <c r="P54" s="648">
        <f t="shared" si="2"/>
        <v>51.923076923076927</v>
      </c>
      <c r="Q54" s="649">
        <f t="shared" si="3"/>
        <v>7.6923076923076925</v>
      </c>
    </row>
    <row r="55" spans="1:17">
      <c r="A55" s="244" t="s">
        <v>165</v>
      </c>
      <c r="B55" s="650">
        <v>116</v>
      </c>
      <c r="C55" s="651">
        <v>61</v>
      </c>
      <c r="D55" s="651">
        <v>48</v>
      </c>
      <c r="E55" s="651">
        <v>13</v>
      </c>
      <c r="F55" s="650" t="s">
        <v>812</v>
      </c>
      <c r="G55" s="651">
        <v>32</v>
      </c>
      <c r="H55" s="651">
        <v>18</v>
      </c>
      <c r="I55" s="651">
        <v>3</v>
      </c>
      <c r="J55" s="650" t="s">
        <v>812</v>
      </c>
      <c r="K55" s="651">
        <v>44</v>
      </c>
      <c r="L55" s="650" t="s">
        <v>812</v>
      </c>
      <c r="M55" s="650" t="s">
        <v>812</v>
      </c>
      <c r="N55" s="651">
        <v>66</v>
      </c>
      <c r="O55" s="651">
        <v>13</v>
      </c>
      <c r="P55" s="652">
        <f t="shared" si="2"/>
        <v>52.586206896551722</v>
      </c>
      <c r="Q55" s="653">
        <f t="shared" si="3"/>
        <v>15.517241379310345</v>
      </c>
    </row>
    <row r="56" spans="1:17">
      <c r="A56" s="243" t="s">
        <v>973</v>
      </c>
      <c r="B56" s="641">
        <v>229</v>
      </c>
      <c r="C56" s="641">
        <v>128</v>
      </c>
      <c r="D56" s="641">
        <v>111</v>
      </c>
      <c r="E56" s="641">
        <v>17</v>
      </c>
      <c r="F56" s="641" t="s">
        <v>812</v>
      </c>
      <c r="G56" s="642">
        <v>64</v>
      </c>
      <c r="H56" s="643">
        <v>18</v>
      </c>
      <c r="I56" s="641">
        <v>3</v>
      </c>
      <c r="J56" s="641" t="s">
        <v>812</v>
      </c>
      <c r="K56" s="642">
        <v>77</v>
      </c>
      <c r="L56" s="641" t="s">
        <v>812</v>
      </c>
      <c r="M56" s="641" t="s">
        <v>812</v>
      </c>
      <c r="N56" s="641">
        <v>133</v>
      </c>
      <c r="O56" s="641">
        <v>17</v>
      </c>
      <c r="P56" s="644">
        <f t="shared" si="2"/>
        <v>55.895196506550214</v>
      </c>
      <c r="Q56" s="645">
        <f t="shared" si="3"/>
        <v>7.860262008733625</v>
      </c>
    </row>
    <row r="57" spans="1:17">
      <c r="A57" s="247" t="s">
        <v>164</v>
      </c>
      <c r="B57" s="646">
        <v>110</v>
      </c>
      <c r="C57" s="647">
        <v>55</v>
      </c>
      <c r="D57" s="647">
        <v>54</v>
      </c>
      <c r="E57" s="647">
        <v>1</v>
      </c>
      <c r="F57" s="646" t="s">
        <v>812</v>
      </c>
      <c r="G57" s="647">
        <v>38</v>
      </c>
      <c r="H57" s="647">
        <v>6</v>
      </c>
      <c r="I57" s="647">
        <v>1</v>
      </c>
      <c r="J57" s="646" t="s">
        <v>812</v>
      </c>
      <c r="K57" s="647">
        <v>33</v>
      </c>
      <c r="L57" s="646" t="s">
        <v>812</v>
      </c>
      <c r="M57" s="646" t="s">
        <v>812</v>
      </c>
      <c r="N57" s="647">
        <v>57</v>
      </c>
      <c r="O57" s="647">
        <v>1</v>
      </c>
      <c r="P57" s="648">
        <f t="shared" si="2"/>
        <v>50</v>
      </c>
      <c r="Q57" s="649">
        <f t="shared" si="3"/>
        <v>5.4545454545454541</v>
      </c>
    </row>
    <row r="58" spans="1:17">
      <c r="A58" s="244" t="s">
        <v>165</v>
      </c>
      <c r="B58" s="650">
        <v>119</v>
      </c>
      <c r="C58" s="651">
        <v>73</v>
      </c>
      <c r="D58" s="651">
        <v>57</v>
      </c>
      <c r="E58" s="651">
        <v>16</v>
      </c>
      <c r="F58" s="650" t="s">
        <v>812</v>
      </c>
      <c r="G58" s="651">
        <v>26</v>
      </c>
      <c r="H58" s="651">
        <v>12</v>
      </c>
      <c r="I58" s="651">
        <v>2</v>
      </c>
      <c r="J58" s="650" t="s">
        <v>812</v>
      </c>
      <c r="K58" s="651">
        <v>44</v>
      </c>
      <c r="L58" s="650" t="s">
        <v>812</v>
      </c>
      <c r="M58" s="650" t="s">
        <v>812</v>
      </c>
      <c r="N58" s="651">
        <v>76</v>
      </c>
      <c r="O58" s="651">
        <v>16</v>
      </c>
      <c r="P58" s="652">
        <f t="shared" si="2"/>
        <v>61.344537815126053</v>
      </c>
      <c r="Q58" s="653">
        <f t="shared" si="3"/>
        <v>10.084033613445378</v>
      </c>
    </row>
    <row r="59" spans="1:17">
      <c r="A59" s="243" t="s">
        <v>974</v>
      </c>
      <c r="B59" s="641">
        <v>196</v>
      </c>
      <c r="C59" s="641">
        <v>115</v>
      </c>
      <c r="D59" s="641">
        <v>97</v>
      </c>
      <c r="E59" s="641">
        <v>18</v>
      </c>
      <c r="F59" s="641" t="s">
        <v>812</v>
      </c>
      <c r="G59" s="642">
        <v>59</v>
      </c>
      <c r="H59" s="643">
        <v>11</v>
      </c>
      <c r="I59" s="641">
        <v>3</v>
      </c>
      <c r="J59" s="641" t="s">
        <v>812</v>
      </c>
      <c r="K59" s="642">
        <v>90</v>
      </c>
      <c r="L59" s="641" t="s">
        <v>812</v>
      </c>
      <c r="M59" s="641" t="s">
        <v>812</v>
      </c>
      <c r="N59" s="641">
        <v>123</v>
      </c>
      <c r="O59" s="641">
        <v>18</v>
      </c>
      <c r="P59" s="644">
        <f t="shared" si="2"/>
        <v>58.673469387755105</v>
      </c>
      <c r="Q59" s="645">
        <f t="shared" si="3"/>
        <v>5.6122448979591839</v>
      </c>
    </row>
    <row r="60" spans="1:17">
      <c r="A60" s="247" t="s">
        <v>164</v>
      </c>
      <c r="B60" s="646">
        <v>92</v>
      </c>
      <c r="C60" s="647">
        <v>57</v>
      </c>
      <c r="D60" s="647">
        <v>57</v>
      </c>
      <c r="E60" s="647">
        <v>0</v>
      </c>
      <c r="F60" s="646" t="s">
        <v>812</v>
      </c>
      <c r="G60" s="647">
        <v>23</v>
      </c>
      <c r="H60" s="647">
        <v>5</v>
      </c>
      <c r="I60" s="647">
        <v>1</v>
      </c>
      <c r="J60" s="646" t="s">
        <v>812</v>
      </c>
      <c r="K60" s="647">
        <v>44</v>
      </c>
      <c r="L60" s="646" t="s">
        <v>812</v>
      </c>
      <c r="M60" s="646" t="s">
        <v>812</v>
      </c>
      <c r="N60" s="647">
        <v>61</v>
      </c>
      <c r="O60" s="647">
        <v>0</v>
      </c>
      <c r="P60" s="648">
        <f t="shared" si="2"/>
        <v>61.95652173913043</v>
      </c>
      <c r="Q60" s="649">
        <f t="shared" si="3"/>
        <v>5.4347826086956523</v>
      </c>
    </row>
    <row r="61" spans="1:17">
      <c r="A61" s="244" t="s">
        <v>165</v>
      </c>
      <c r="B61" s="650">
        <v>104</v>
      </c>
      <c r="C61" s="651">
        <v>58</v>
      </c>
      <c r="D61" s="651">
        <v>40</v>
      </c>
      <c r="E61" s="651">
        <v>18</v>
      </c>
      <c r="F61" s="650" t="s">
        <v>812</v>
      </c>
      <c r="G61" s="651">
        <v>26</v>
      </c>
      <c r="H61" s="651">
        <v>6</v>
      </c>
      <c r="I61" s="651">
        <v>2</v>
      </c>
      <c r="J61" s="650" t="s">
        <v>812</v>
      </c>
      <c r="K61" s="651">
        <v>46</v>
      </c>
      <c r="L61" s="650" t="s">
        <v>812</v>
      </c>
      <c r="M61" s="650" t="s">
        <v>812</v>
      </c>
      <c r="N61" s="651">
        <v>62</v>
      </c>
      <c r="O61" s="651">
        <v>18</v>
      </c>
      <c r="P61" s="654">
        <f t="shared" si="2"/>
        <v>55.769230769230774</v>
      </c>
      <c r="Q61" s="653">
        <f t="shared" si="3"/>
        <v>5.7692307692307692</v>
      </c>
    </row>
    <row r="62" spans="1:17" s="1174" customFormat="1">
      <c r="A62" s="1163"/>
      <c r="B62" s="1172"/>
      <c r="C62" s="1172"/>
      <c r="D62" s="1172"/>
      <c r="E62" s="1172"/>
      <c r="F62" s="1172"/>
      <c r="G62" s="1164"/>
      <c r="H62" s="1165"/>
      <c r="I62" s="1172"/>
      <c r="J62" s="1172"/>
      <c r="K62" s="1164"/>
      <c r="L62" s="1172"/>
      <c r="M62" s="1172"/>
      <c r="N62" s="1172"/>
      <c r="O62" s="1172"/>
      <c r="P62" s="1173"/>
      <c r="Q62" s="1170"/>
    </row>
    <row r="63" spans="1:17" s="1174" customFormat="1">
      <c r="A63" s="555"/>
      <c r="B63" s="1175"/>
      <c r="C63" s="1168"/>
      <c r="D63" s="1168"/>
      <c r="E63" s="1168"/>
      <c r="F63" s="1175"/>
      <c r="G63" s="1168"/>
      <c r="H63" s="1168"/>
      <c r="I63" s="1168"/>
      <c r="J63" s="1175"/>
      <c r="K63" s="1168"/>
      <c r="L63" s="1175"/>
      <c r="M63" s="1175"/>
      <c r="N63" s="1168"/>
      <c r="O63" s="1168"/>
      <c r="P63" s="1173"/>
      <c r="Q63" s="1170"/>
    </row>
    <row r="64" spans="1:17" s="1174" customFormat="1" ht="13.8" thickBot="1">
      <c r="A64" s="554"/>
      <c r="B64" s="1176"/>
      <c r="C64" s="1122"/>
      <c r="D64" s="1122"/>
      <c r="E64" s="1122"/>
      <c r="F64" s="1176"/>
      <c r="G64" s="1122"/>
      <c r="H64" s="1122"/>
      <c r="I64" s="1122"/>
      <c r="J64" s="1176"/>
      <c r="K64" s="1122"/>
      <c r="L64" s="1176"/>
      <c r="M64" s="1176"/>
      <c r="N64" s="1122"/>
      <c r="O64" s="1122"/>
      <c r="P64" s="1177"/>
      <c r="Q64" s="1171"/>
    </row>
    <row r="65" spans="1:17" ht="16.2" customHeight="1">
      <c r="A65" s="258" t="s">
        <v>975</v>
      </c>
      <c r="B65" s="258"/>
      <c r="C65" s="258"/>
      <c r="D65" s="258"/>
      <c r="E65" s="258"/>
      <c r="F65" s="258"/>
      <c r="G65" s="258"/>
      <c r="H65" s="258"/>
      <c r="I65" s="258"/>
      <c r="J65" s="258"/>
      <c r="K65" s="258"/>
      <c r="L65" s="258"/>
      <c r="M65" s="258"/>
      <c r="N65" s="258"/>
      <c r="O65" s="258"/>
      <c r="P65" s="258"/>
      <c r="Q65" s="258"/>
    </row>
    <row r="66" spans="1:17">
      <c r="B66" s="12"/>
    </row>
  </sheetData>
  <mergeCells count="13">
    <mergeCell ref="L2:M2"/>
    <mergeCell ref="N2:O2"/>
    <mergeCell ref="P2:P3"/>
    <mergeCell ref="Q2:Q3"/>
    <mergeCell ref="O1:Q1"/>
    <mergeCell ref="I2:I3"/>
    <mergeCell ref="J2:J3"/>
    <mergeCell ref="K2:K3"/>
    <mergeCell ref="A2:A3"/>
    <mergeCell ref="B2:B3"/>
    <mergeCell ref="C2:F2"/>
    <mergeCell ref="G2:G3"/>
    <mergeCell ref="H2:H3"/>
  </mergeCells>
  <phoneticPr fontId="4"/>
  <printOptions horizontalCentered="1"/>
  <pageMargins left="0.70866141732283472" right="0.70866141732283472" top="0.98425196850393704" bottom="0.78740157480314965" header="0.51181102362204722" footer="0.51181102362204722"/>
  <pageSetup paperSize="9" scale="91" orientation="portrait" r:id="rId1"/>
  <headerFooter>
    <oddFooter>&amp;C&amp;P　/　&amp;N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DD54-46C7-4AD1-8627-22404566AA5F}">
  <sheetPr codeName="Sheet44">
    <pageSetUpPr fitToPage="1"/>
  </sheetPr>
  <dimension ref="A1:AJ23"/>
  <sheetViews>
    <sheetView showGridLines="0" zoomScaleNormal="100" workbookViewId="0"/>
  </sheetViews>
  <sheetFormatPr defaultRowHeight="13.2"/>
  <cols>
    <col min="1" max="3" width="7.5" style="82" customWidth="1"/>
    <col min="4" max="36" width="3.19921875" style="82" customWidth="1"/>
    <col min="37" max="94" width="3.8984375" style="82" customWidth="1"/>
    <col min="95" max="238" width="9" style="82"/>
    <col min="239" max="239" width="7.3984375" style="82" customWidth="1"/>
    <col min="240" max="240" width="4.59765625" style="82" customWidth="1"/>
    <col min="241" max="241" width="14.8984375" style="82" customWidth="1"/>
    <col min="242" max="247" width="6.59765625" style="82" customWidth="1"/>
    <col min="248" max="494" width="9" style="82"/>
    <col min="495" max="495" width="7.3984375" style="82" customWidth="1"/>
    <col min="496" max="496" width="4.59765625" style="82" customWidth="1"/>
    <col min="497" max="497" width="14.8984375" style="82" customWidth="1"/>
    <col min="498" max="503" width="6.59765625" style="82" customWidth="1"/>
    <col min="504" max="750" width="9" style="82"/>
    <col min="751" max="751" width="7.3984375" style="82" customWidth="1"/>
    <col min="752" max="752" width="4.59765625" style="82" customWidth="1"/>
    <col min="753" max="753" width="14.8984375" style="82" customWidth="1"/>
    <col min="754" max="759" width="6.59765625" style="82" customWidth="1"/>
    <col min="760" max="1006" width="9" style="82"/>
    <col min="1007" max="1007" width="7.3984375" style="82" customWidth="1"/>
    <col min="1008" max="1008" width="4.59765625" style="82" customWidth="1"/>
    <col min="1009" max="1009" width="14.8984375" style="82" customWidth="1"/>
    <col min="1010" max="1015" width="6.59765625" style="82" customWidth="1"/>
    <col min="1016" max="1262" width="9" style="82"/>
    <col min="1263" max="1263" width="7.3984375" style="82" customWidth="1"/>
    <col min="1264" max="1264" width="4.59765625" style="82" customWidth="1"/>
    <col min="1265" max="1265" width="14.8984375" style="82" customWidth="1"/>
    <col min="1266" max="1271" width="6.59765625" style="82" customWidth="1"/>
    <col min="1272" max="1518" width="9" style="82"/>
    <col min="1519" max="1519" width="7.3984375" style="82" customWidth="1"/>
    <col min="1520" max="1520" width="4.59765625" style="82" customWidth="1"/>
    <col min="1521" max="1521" width="14.8984375" style="82" customWidth="1"/>
    <col min="1522" max="1527" width="6.59765625" style="82" customWidth="1"/>
    <col min="1528" max="1774" width="9" style="82"/>
    <col min="1775" max="1775" width="7.3984375" style="82" customWidth="1"/>
    <col min="1776" max="1776" width="4.59765625" style="82" customWidth="1"/>
    <col min="1777" max="1777" width="14.8984375" style="82" customWidth="1"/>
    <col min="1778" max="1783" width="6.59765625" style="82" customWidth="1"/>
    <col min="1784" max="2030" width="9" style="82"/>
    <col min="2031" max="2031" width="7.3984375" style="82" customWidth="1"/>
    <col min="2032" max="2032" width="4.59765625" style="82" customWidth="1"/>
    <col min="2033" max="2033" width="14.8984375" style="82" customWidth="1"/>
    <col min="2034" max="2039" width="6.59765625" style="82" customWidth="1"/>
    <col min="2040" max="2286" width="9" style="82"/>
    <col min="2287" max="2287" width="7.3984375" style="82" customWidth="1"/>
    <col min="2288" max="2288" width="4.59765625" style="82" customWidth="1"/>
    <col min="2289" max="2289" width="14.8984375" style="82" customWidth="1"/>
    <col min="2290" max="2295" width="6.59765625" style="82" customWidth="1"/>
    <col min="2296" max="2542" width="9" style="82"/>
    <col min="2543" max="2543" width="7.3984375" style="82" customWidth="1"/>
    <col min="2544" max="2544" width="4.59765625" style="82" customWidth="1"/>
    <col min="2545" max="2545" width="14.8984375" style="82" customWidth="1"/>
    <col min="2546" max="2551" width="6.59765625" style="82" customWidth="1"/>
    <col min="2552" max="2798" width="9" style="82"/>
    <col min="2799" max="2799" width="7.3984375" style="82" customWidth="1"/>
    <col min="2800" max="2800" width="4.59765625" style="82" customWidth="1"/>
    <col min="2801" max="2801" width="14.8984375" style="82" customWidth="1"/>
    <col min="2802" max="2807" width="6.59765625" style="82" customWidth="1"/>
    <col min="2808" max="3054" width="9" style="82"/>
    <col min="3055" max="3055" width="7.3984375" style="82" customWidth="1"/>
    <col min="3056" max="3056" width="4.59765625" style="82" customWidth="1"/>
    <col min="3057" max="3057" width="14.8984375" style="82" customWidth="1"/>
    <col min="3058" max="3063" width="6.59765625" style="82" customWidth="1"/>
    <col min="3064" max="3310" width="9" style="82"/>
    <col min="3311" max="3311" width="7.3984375" style="82" customWidth="1"/>
    <col min="3312" max="3312" width="4.59765625" style="82" customWidth="1"/>
    <col min="3313" max="3313" width="14.8984375" style="82" customWidth="1"/>
    <col min="3314" max="3319" width="6.59765625" style="82" customWidth="1"/>
    <col min="3320" max="3566" width="9" style="82"/>
    <col min="3567" max="3567" width="7.3984375" style="82" customWidth="1"/>
    <col min="3568" max="3568" width="4.59765625" style="82" customWidth="1"/>
    <col min="3569" max="3569" width="14.8984375" style="82" customWidth="1"/>
    <col min="3570" max="3575" width="6.59765625" style="82" customWidth="1"/>
    <col min="3576" max="3822" width="9" style="82"/>
    <col min="3823" max="3823" width="7.3984375" style="82" customWidth="1"/>
    <col min="3824" max="3824" width="4.59765625" style="82" customWidth="1"/>
    <col min="3825" max="3825" width="14.8984375" style="82" customWidth="1"/>
    <col min="3826" max="3831" width="6.59765625" style="82" customWidth="1"/>
    <col min="3832" max="4078" width="9" style="82"/>
    <col min="4079" max="4079" width="7.3984375" style="82" customWidth="1"/>
    <col min="4080" max="4080" width="4.59765625" style="82" customWidth="1"/>
    <col min="4081" max="4081" width="14.8984375" style="82" customWidth="1"/>
    <col min="4082" max="4087" width="6.59765625" style="82" customWidth="1"/>
    <col min="4088" max="4334" width="9" style="82"/>
    <col min="4335" max="4335" width="7.3984375" style="82" customWidth="1"/>
    <col min="4336" max="4336" width="4.59765625" style="82" customWidth="1"/>
    <col min="4337" max="4337" width="14.8984375" style="82" customWidth="1"/>
    <col min="4338" max="4343" width="6.59765625" style="82" customWidth="1"/>
    <col min="4344" max="4590" width="9" style="82"/>
    <col min="4591" max="4591" width="7.3984375" style="82" customWidth="1"/>
    <col min="4592" max="4592" width="4.59765625" style="82" customWidth="1"/>
    <col min="4593" max="4593" width="14.8984375" style="82" customWidth="1"/>
    <col min="4594" max="4599" width="6.59765625" style="82" customWidth="1"/>
    <col min="4600" max="4846" width="9" style="82"/>
    <col min="4847" max="4847" width="7.3984375" style="82" customWidth="1"/>
    <col min="4848" max="4848" width="4.59765625" style="82" customWidth="1"/>
    <col min="4849" max="4849" width="14.8984375" style="82" customWidth="1"/>
    <col min="4850" max="4855" width="6.59765625" style="82" customWidth="1"/>
    <col min="4856" max="5102" width="9" style="82"/>
    <col min="5103" max="5103" width="7.3984375" style="82" customWidth="1"/>
    <col min="5104" max="5104" width="4.59765625" style="82" customWidth="1"/>
    <col min="5105" max="5105" width="14.8984375" style="82" customWidth="1"/>
    <col min="5106" max="5111" width="6.59765625" style="82" customWidth="1"/>
    <col min="5112" max="5358" width="9" style="82"/>
    <col min="5359" max="5359" width="7.3984375" style="82" customWidth="1"/>
    <col min="5360" max="5360" width="4.59765625" style="82" customWidth="1"/>
    <col min="5361" max="5361" width="14.8984375" style="82" customWidth="1"/>
    <col min="5362" max="5367" width="6.59765625" style="82" customWidth="1"/>
    <col min="5368" max="5614" width="9" style="82"/>
    <col min="5615" max="5615" width="7.3984375" style="82" customWidth="1"/>
    <col min="5616" max="5616" width="4.59765625" style="82" customWidth="1"/>
    <col min="5617" max="5617" width="14.8984375" style="82" customWidth="1"/>
    <col min="5618" max="5623" width="6.59765625" style="82" customWidth="1"/>
    <col min="5624" max="5870" width="9" style="82"/>
    <col min="5871" max="5871" width="7.3984375" style="82" customWidth="1"/>
    <col min="5872" max="5872" width="4.59765625" style="82" customWidth="1"/>
    <col min="5873" max="5873" width="14.8984375" style="82" customWidth="1"/>
    <col min="5874" max="5879" width="6.59765625" style="82" customWidth="1"/>
    <col min="5880" max="6126" width="9" style="82"/>
    <col min="6127" max="6127" width="7.3984375" style="82" customWidth="1"/>
    <col min="6128" max="6128" width="4.59765625" style="82" customWidth="1"/>
    <col min="6129" max="6129" width="14.8984375" style="82" customWidth="1"/>
    <col min="6130" max="6135" width="6.59765625" style="82" customWidth="1"/>
    <col min="6136" max="6382" width="9" style="82"/>
    <col min="6383" max="6383" width="7.3984375" style="82" customWidth="1"/>
    <col min="6384" max="6384" width="4.59765625" style="82" customWidth="1"/>
    <col min="6385" max="6385" width="14.8984375" style="82" customWidth="1"/>
    <col min="6386" max="6391" width="6.59765625" style="82" customWidth="1"/>
    <col min="6392" max="6638" width="9" style="82"/>
    <col min="6639" max="6639" width="7.3984375" style="82" customWidth="1"/>
    <col min="6640" max="6640" width="4.59765625" style="82" customWidth="1"/>
    <col min="6641" max="6641" width="14.8984375" style="82" customWidth="1"/>
    <col min="6642" max="6647" width="6.59765625" style="82" customWidth="1"/>
    <col min="6648" max="6894" width="9" style="82"/>
    <col min="6895" max="6895" width="7.3984375" style="82" customWidth="1"/>
    <col min="6896" max="6896" width="4.59765625" style="82" customWidth="1"/>
    <col min="6897" max="6897" width="14.8984375" style="82" customWidth="1"/>
    <col min="6898" max="6903" width="6.59765625" style="82" customWidth="1"/>
    <col min="6904" max="7150" width="9" style="82"/>
    <col min="7151" max="7151" width="7.3984375" style="82" customWidth="1"/>
    <col min="7152" max="7152" width="4.59765625" style="82" customWidth="1"/>
    <col min="7153" max="7153" width="14.8984375" style="82" customWidth="1"/>
    <col min="7154" max="7159" width="6.59765625" style="82" customWidth="1"/>
    <col min="7160" max="7406" width="9" style="82"/>
    <col min="7407" max="7407" width="7.3984375" style="82" customWidth="1"/>
    <col min="7408" max="7408" width="4.59765625" style="82" customWidth="1"/>
    <col min="7409" max="7409" width="14.8984375" style="82" customWidth="1"/>
    <col min="7410" max="7415" width="6.59765625" style="82" customWidth="1"/>
    <col min="7416" max="7662" width="9" style="82"/>
    <col min="7663" max="7663" width="7.3984375" style="82" customWidth="1"/>
    <col min="7664" max="7664" width="4.59765625" style="82" customWidth="1"/>
    <col min="7665" max="7665" width="14.8984375" style="82" customWidth="1"/>
    <col min="7666" max="7671" width="6.59765625" style="82" customWidth="1"/>
    <col min="7672" max="7918" width="9" style="82"/>
    <col min="7919" max="7919" width="7.3984375" style="82" customWidth="1"/>
    <col min="7920" max="7920" width="4.59765625" style="82" customWidth="1"/>
    <col min="7921" max="7921" width="14.8984375" style="82" customWidth="1"/>
    <col min="7922" max="7927" width="6.59765625" style="82" customWidth="1"/>
    <col min="7928" max="8174" width="9" style="82"/>
    <col min="8175" max="8175" width="7.3984375" style="82" customWidth="1"/>
    <col min="8176" max="8176" width="4.59765625" style="82" customWidth="1"/>
    <col min="8177" max="8177" width="14.8984375" style="82" customWidth="1"/>
    <col min="8178" max="8183" width="6.59765625" style="82" customWidth="1"/>
    <col min="8184" max="8430" width="9" style="82"/>
    <col min="8431" max="8431" width="7.3984375" style="82" customWidth="1"/>
    <col min="8432" max="8432" width="4.59765625" style="82" customWidth="1"/>
    <col min="8433" max="8433" width="14.8984375" style="82" customWidth="1"/>
    <col min="8434" max="8439" width="6.59765625" style="82" customWidth="1"/>
    <col min="8440" max="8686" width="9" style="82"/>
    <col min="8687" max="8687" width="7.3984375" style="82" customWidth="1"/>
    <col min="8688" max="8688" width="4.59765625" style="82" customWidth="1"/>
    <col min="8689" max="8689" width="14.8984375" style="82" customWidth="1"/>
    <col min="8690" max="8695" width="6.59765625" style="82" customWidth="1"/>
    <col min="8696" max="8942" width="9" style="82"/>
    <col min="8943" max="8943" width="7.3984375" style="82" customWidth="1"/>
    <col min="8944" max="8944" width="4.59765625" style="82" customWidth="1"/>
    <col min="8945" max="8945" width="14.8984375" style="82" customWidth="1"/>
    <col min="8946" max="8951" width="6.59765625" style="82" customWidth="1"/>
    <col min="8952" max="9198" width="9" style="82"/>
    <col min="9199" max="9199" width="7.3984375" style="82" customWidth="1"/>
    <col min="9200" max="9200" width="4.59765625" style="82" customWidth="1"/>
    <col min="9201" max="9201" width="14.8984375" style="82" customWidth="1"/>
    <col min="9202" max="9207" width="6.59765625" style="82" customWidth="1"/>
    <col min="9208" max="9454" width="9" style="82"/>
    <col min="9455" max="9455" width="7.3984375" style="82" customWidth="1"/>
    <col min="9456" max="9456" width="4.59765625" style="82" customWidth="1"/>
    <col min="9457" max="9457" width="14.8984375" style="82" customWidth="1"/>
    <col min="9458" max="9463" width="6.59765625" style="82" customWidth="1"/>
    <col min="9464" max="9710" width="9" style="82"/>
    <col min="9711" max="9711" width="7.3984375" style="82" customWidth="1"/>
    <col min="9712" max="9712" width="4.59765625" style="82" customWidth="1"/>
    <col min="9713" max="9713" width="14.8984375" style="82" customWidth="1"/>
    <col min="9714" max="9719" width="6.59765625" style="82" customWidth="1"/>
    <col min="9720" max="9966" width="9" style="82"/>
    <col min="9967" max="9967" width="7.3984375" style="82" customWidth="1"/>
    <col min="9968" max="9968" width="4.59765625" style="82" customWidth="1"/>
    <col min="9969" max="9969" width="14.8984375" style="82" customWidth="1"/>
    <col min="9970" max="9975" width="6.59765625" style="82" customWidth="1"/>
    <col min="9976" max="10222" width="9" style="82"/>
    <col min="10223" max="10223" width="7.3984375" style="82" customWidth="1"/>
    <col min="10224" max="10224" width="4.59765625" style="82" customWidth="1"/>
    <col min="10225" max="10225" width="14.8984375" style="82" customWidth="1"/>
    <col min="10226" max="10231" width="6.59765625" style="82" customWidth="1"/>
    <col min="10232" max="10478" width="9" style="82"/>
    <col min="10479" max="10479" width="7.3984375" style="82" customWidth="1"/>
    <col min="10480" max="10480" width="4.59765625" style="82" customWidth="1"/>
    <col min="10481" max="10481" width="14.8984375" style="82" customWidth="1"/>
    <col min="10482" max="10487" width="6.59765625" style="82" customWidth="1"/>
    <col min="10488" max="10734" width="9" style="82"/>
    <col min="10735" max="10735" width="7.3984375" style="82" customWidth="1"/>
    <col min="10736" max="10736" width="4.59765625" style="82" customWidth="1"/>
    <col min="10737" max="10737" width="14.8984375" style="82" customWidth="1"/>
    <col min="10738" max="10743" width="6.59765625" style="82" customWidth="1"/>
    <col min="10744" max="10990" width="9" style="82"/>
    <col min="10991" max="10991" width="7.3984375" style="82" customWidth="1"/>
    <col min="10992" max="10992" width="4.59765625" style="82" customWidth="1"/>
    <col min="10993" max="10993" width="14.8984375" style="82" customWidth="1"/>
    <col min="10994" max="10999" width="6.59765625" style="82" customWidth="1"/>
    <col min="11000" max="11246" width="9" style="82"/>
    <col min="11247" max="11247" width="7.3984375" style="82" customWidth="1"/>
    <col min="11248" max="11248" width="4.59765625" style="82" customWidth="1"/>
    <col min="11249" max="11249" width="14.8984375" style="82" customWidth="1"/>
    <col min="11250" max="11255" width="6.59765625" style="82" customWidth="1"/>
    <col min="11256" max="11502" width="9" style="82"/>
    <col min="11503" max="11503" width="7.3984375" style="82" customWidth="1"/>
    <col min="11504" max="11504" width="4.59765625" style="82" customWidth="1"/>
    <col min="11505" max="11505" width="14.8984375" style="82" customWidth="1"/>
    <col min="11506" max="11511" width="6.59765625" style="82" customWidth="1"/>
    <col min="11512" max="11758" width="9" style="82"/>
    <col min="11759" max="11759" width="7.3984375" style="82" customWidth="1"/>
    <col min="11760" max="11760" width="4.59765625" style="82" customWidth="1"/>
    <col min="11761" max="11761" width="14.8984375" style="82" customWidth="1"/>
    <col min="11762" max="11767" width="6.59765625" style="82" customWidth="1"/>
    <col min="11768" max="12014" width="9" style="82"/>
    <col min="12015" max="12015" width="7.3984375" style="82" customWidth="1"/>
    <col min="12016" max="12016" width="4.59765625" style="82" customWidth="1"/>
    <col min="12017" max="12017" width="14.8984375" style="82" customWidth="1"/>
    <col min="12018" max="12023" width="6.59765625" style="82" customWidth="1"/>
    <col min="12024" max="12270" width="9" style="82"/>
    <col min="12271" max="12271" width="7.3984375" style="82" customWidth="1"/>
    <col min="12272" max="12272" width="4.59765625" style="82" customWidth="1"/>
    <col min="12273" max="12273" width="14.8984375" style="82" customWidth="1"/>
    <col min="12274" max="12279" width="6.59765625" style="82" customWidth="1"/>
    <col min="12280" max="12526" width="9" style="82"/>
    <col min="12527" max="12527" width="7.3984375" style="82" customWidth="1"/>
    <col min="12528" max="12528" width="4.59765625" style="82" customWidth="1"/>
    <col min="12529" max="12529" width="14.8984375" style="82" customWidth="1"/>
    <col min="12530" max="12535" width="6.59765625" style="82" customWidth="1"/>
    <col min="12536" max="12782" width="9" style="82"/>
    <col min="12783" max="12783" width="7.3984375" style="82" customWidth="1"/>
    <col min="12784" max="12784" width="4.59765625" style="82" customWidth="1"/>
    <col min="12785" max="12785" width="14.8984375" style="82" customWidth="1"/>
    <col min="12786" max="12791" width="6.59765625" style="82" customWidth="1"/>
    <col min="12792" max="13038" width="9" style="82"/>
    <col min="13039" max="13039" width="7.3984375" style="82" customWidth="1"/>
    <col min="13040" max="13040" width="4.59765625" style="82" customWidth="1"/>
    <col min="13041" max="13041" width="14.8984375" style="82" customWidth="1"/>
    <col min="13042" max="13047" width="6.59765625" style="82" customWidth="1"/>
    <col min="13048" max="13294" width="9" style="82"/>
    <col min="13295" max="13295" width="7.3984375" style="82" customWidth="1"/>
    <col min="13296" max="13296" width="4.59765625" style="82" customWidth="1"/>
    <col min="13297" max="13297" width="14.8984375" style="82" customWidth="1"/>
    <col min="13298" max="13303" width="6.59765625" style="82" customWidth="1"/>
    <col min="13304" max="13550" width="9" style="82"/>
    <col min="13551" max="13551" width="7.3984375" style="82" customWidth="1"/>
    <col min="13552" max="13552" width="4.59765625" style="82" customWidth="1"/>
    <col min="13553" max="13553" width="14.8984375" style="82" customWidth="1"/>
    <col min="13554" max="13559" width="6.59765625" style="82" customWidth="1"/>
    <col min="13560" max="13806" width="9" style="82"/>
    <col min="13807" max="13807" width="7.3984375" style="82" customWidth="1"/>
    <col min="13808" max="13808" width="4.59765625" style="82" customWidth="1"/>
    <col min="13809" max="13809" width="14.8984375" style="82" customWidth="1"/>
    <col min="13810" max="13815" width="6.59765625" style="82" customWidth="1"/>
    <col min="13816" max="14062" width="9" style="82"/>
    <col min="14063" max="14063" width="7.3984375" style="82" customWidth="1"/>
    <col min="14064" max="14064" width="4.59765625" style="82" customWidth="1"/>
    <col min="14065" max="14065" width="14.8984375" style="82" customWidth="1"/>
    <col min="14066" max="14071" width="6.59765625" style="82" customWidth="1"/>
    <col min="14072" max="14318" width="9" style="82"/>
    <col min="14319" max="14319" width="7.3984375" style="82" customWidth="1"/>
    <col min="14320" max="14320" width="4.59765625" style="82" customWidth="1"/>
    <col min="14321" max="14321" width="14.8984375" style="82" customWidth="1"/>
    <col min="14322" max="14327" width="6.59765625" style="82" customWidth="1"/>
    <col min="14328" max="14574" width="9" style="82"/>
    <col min="14575" max="14575" width="7.3984375" style="82" customWidth="1"/>
    <col min="14576" max="14576" width="4.59765625" style="82" customWidth="1"/>
    <col min="14577" max="14577" width="14.8984375" style="82" customWidth="1"/>
    <col min="14578" max="14583" width="6.59765625" style="82" customWidth="1"/>
    <col min="14584" max="14830" width="9" style="82"/>
    <col min="14831" max="14831" width="7.3984375" style="82" customWidth="1"/>
    <col min="14832" max="14832" width="4.59765625" style="82" customWidth="1"/>
    <col min="14833" max="14833" width="14.8984375" style="82" customWidth="1"/>
    <col min="14834" max="14839" width="6.59765625" style="82" customWidth="1"/>
    <col min="14840" max="15086" width="9" style="82"/>
    <col min="15087" max="15087" width="7.3984375" style="82" customWidth="1"/>
    <col min="15088" max="15088" width="4.59765625" style="82" customWidth="1"/>
    <col min="15089" max="15089" width="14.8984375" style="82" customWidth="1"/>
    <col min="15090" max="15095" width="6.59765625" style="82" customWidth="1"/>
    <col min="15096" max="15342" width="9" style="82"/>
    <col min="15343" max="15343" width="7.3984375" style="82" customWidth="1"/>
    <col min="15344" max="15344" width="4.59765625" style="82" customWidth="1"/>
    <col min="15345" max="15345" width="14.8984375" style="82" customWidth="1"/>
    <col min="15346" max="15351" width="6.59765625" style="82" customWidth="1"/>
    <col min="15352" max="15598" width="9" style="82"/>
    <col min="15599" max="15599" width="7.3984375" style="82" customWidth="1"/>
    <col min="15600" max="15600" width="4.59765625" style="82" customWidth="1"/>
    <col min="15601" max="15601" width="14.8984375" style="82" customWidth="1"/>
    <col min="15602" max="15607" width="6.59765625" style="82" customWidth="1"/>
    <col min="15608" max="15854" width="9" style="82"/>
    <col min="15855" max="15855" width="7.3984375" style="82" customWidth="1"/>
    <col min="15856" max="15856" width="4.59765625" style="82" customWidth="1"/>
    <col min="15857" max="15857" width="14.8984375" style="82" customWidth="1"/>
    <col min="15858" max="15863" width="6.59765625" style="82" customWidth="1"/>
    <col min="15864" max="16110" width="9" style="82"/>
    <col min="16111" max="16111" width="7.3984375" style="82" customWidth="1"/>
    <col min="16112" max="16112" width="4.59765625" style="82" customWidth="1"/>
    <col min="16113" max="16113" width="14.8984375" style="82" customWidth="1"/>
    <col min="16114" max="16119" width="6.59765625" style="82" customWidth="1"/>
    <col min="16120" max="16384" width="9" style="82"/>
  </cols>
  <sheetData>
    <row r="1" spans="1:36" ht="30" customHeight="1">
      <c r="A1" s="259" t="s">
        <v>976</v>
      </c>
      <c r="B1" s="259"/>
      <c r="C1" s="259"/>
    </row>
    <row r="2" spans="1:36" s="29" customFormat="1" ht="11.4" thickBot="1">
      <c r="A2" s="11"/>
      <c r="B2" s="11"/>
      <c r="C2" s="11"/>
      <c r="L2" s="260"/>
      <c r="AJ2" s="260" t="s">
        <v>977</v>
      </c>
    </row>
    <row r="3" spans="1:36" s="11" customFormat="1" ht="21" customHeight="1">
      <c r="A3" s="2180" t="s">
        <v>978</v>
      </c>
      <c r="B3" s="2202"/>
      <c r="C3" s="2202"/>
      <c r="D3" s="2183" t="s">
        <v>979</v>
      </c>
      <c r="E3" s="2184"/>
      <c r="F3" s="2185"/>
      <c r="G3" s="2183" t="s">
        <v>980</v>
      </c>
      <c r="H3" s="2184"/>
      <c r="I3" s="2185"/>
      <c r="J3" s="2183" t="s">
        <v>981</v>
      </c>
      <c r="K3" s="2184"/>
      <c r="L3" s="2185"/>
      <c r="M3" s="2183" t="s">
        <v>982</v>
      </c>
      <c r="N3" s="2184"/>
      <c r="O3" s="2185"/>
      <c r="P3" s="2183" t="s">
        <v>983</v>
      </c>
      <c r="Q3" s="2184"/>
      <c r="R3" s="2185"/>
      <c r="S3" s="2572" t="s">
        <v>984</v>
      </c>
      <c r="T3" s="2572"/>
      <c r="U3" s="2183"/>
      <c r="V3" s="2183" t="s">
        <v>985</v>
      </c>
      <c r="W3" s="2184"/>
      <c r="X3" s="2185"/>
      <c r="Y3" s="2572" t="s">
        <v>986</v>
      </c>
      <c r="Z3" s="2572"/>
      <c r="AA3" s="2183"/>
      <c r="AB3" s="2572" t="s">
        <v>987</v>
      </c>
      <c r="AC3" s="2572"/>
      <c r="AD3" s="2183"/>
      <c r="AE3" s="2572" t="s">
        <v>988</v>
      </c>
      <c r="AF3" s="2572"/>
      <c r="AG3" s="2183"/>
      <c r="AH3" s="2572" t="s">
        <v>989</v>
      </c>
      <c r="AI3" s="2572"/>
      <c r="AJ3" s="2183"/>
    </row>
    <row r="4" spans="1:36" s="11" customFormat="1" ht="21" customHeight="1">
      <c r="A4" s="2204"/>
      <c r="B4" s="2203"/>
      <c r="C4" s="2203"/>
      <c r="D4" s="130" t="s">
        <v>279</v>
      </c>
      <c r="E4" s="130" t="s">
        <v>164</v>
      </c>
      <c r="F4" s="246" t="s">
        <v>165</v>
      </c>
      <c r="G4" s="130" t="s">
        <v>279</v>
      </c>
      <c r="H4" s="130" t="s">
        <v>164</v>
      </c>
      <c r="I4" s="246" t="s">
        <v>165</v>
      </c>
      <c r="J4" s="130" t="s">
        <v>279</v>
      </c>
      <c r="K4" s="130" t="s">
        <v>164</v>
      </c>
      <c r="L4" s="241" t="s">
        <v>165</v>
      </c>
      <c r="M4" s="130" t="s">
        <v>279</v>
      </c>
      <c r="N4" s="130" t="s">
        <v>164</v>
      </c>
      <c r="O4" s="246" t="s">
        <v>165</v>
      </c>
      <c r="P4" s="130" t="s">
        <v>279</v>
      </c>
      <c r="Q4" s="130" t="s">
        <v>164</v>
      </c>
      <c r="R4" s="241" t="s">
        <v>165</v>
      </c>
      <c r="S4" s="130" t="s">
        <v>279</v>
      </c>
      <c r="T4" s="130" t="s">
        <v>164</v>
      </c>
      <c r="U4" s="241" t="s">
        <v>165</v>
      </c>
      <c r="V4" s="246" t="s">
        <v>279</v>
      </c>
      <c r="W4" s="246" t="s">
        <v>164</v>
      </c>
      <c r="X4" s="246" t="s">
        <v>165</v>
      </c>
      <c r="Y4" s="130" t="s">
        <v>279</v>
      </c>
      <c r="Z4" s="130" t="s">
        <v>164</v>
      </c>
      <c r="AA4" s="241" t="s">
        <v>165</v>
      </c>
      <c r="AB4" s="130" t="s">
        <v>279</v>
      </c>
      <c r="AC4" s="130" t="s">
        <v>164</v>
      </c>
      <c r="AD4" s="241" t="s">
        <v>165</v>
      </c>
      <c r="AE4" s="130" t="s">
        <v>279</v>
      </c>
      <c r="AF4" s="130" t="s">
        <v>164</v>
      </c>
      <c r="AG4" s="241" t="s">
        <v>165</v>
      </c>
      <c r="AH4" s="130" t="s">
        <v>279</v>
      </c>
      <c r="AI4" s="130" t="s">
        <v>164</v>
      </c>
      <c r="AJ4" s="241" t="s">
        <v>165</v>
      </c>
    </row>
    <row r="5" spans="1:36" s="11" customFormat="1" ht="21" customHeight="1">
      <c r="A5" s="2574"/>
      <c r="B5" s="2574"/>
      <c r="C5" s="2191"/>
      <c r="D5" s="86" t="s">
        <v>167</v>
      </c>
      <c r="E5" s="86" t="s">
        <v>167</v>
      </c>
      <c r="F5" s="86" t="s">
        <v>167</v>
      </c>
      <c r="G5" s="86" t="s">
        <v>167</v>
      </c>
      <c r="H5" s="86" t="s">
        <v>167</v>
      </c>
      <c r="I5" s="86" t="s">
        <v>167</v>
      </c>
      <c r="J5" s="86" t="s">
        <v>167</v>
      </c>
      <c r="K5" s="86" t="s">
        <v>167</v>
      </c>
      <c r="L5" s="39" t="s">
        <v>167</v>
      </c>
      <c r="M5" s="86" t="s">
        <v>167</v>
      </c>
      <c r="N5" s="86" t="s">
        <v>167</v>
      </c>
      <c r="O5" s="86" t="s">
        <v>167</v>
      </c>
      <c r="P5" s="86" t="s">
        <v>167</v>
      </c>
      <c r="Q5" s="86" t="s">
        <v>167</v>
      </c>
      <c r="R5" s="39" t="s">
        <v>167</v>
      </c>
      <c r="S5" s="86" t="s">
        <v>167</v>
      </c>
      <c r="T5" s="86" t="s">
        <v>167</v>
      </c>
      <c r="U5" s="39" t="s">
        <v>167</v>
      </c>
      <c r="V5" s="86" t="s">
        <v>167</v>
      </c>
      <c r="W5" s="86" t="s">
        <v>167</v>
      </c>
      <c r="X5" s="86" t="s">
        <v>167</v>
      </c>
      <c r="Y5" s="86" t="s">
        <v>167</v>
      </c>
      <c r="Z5" s="86" t="s">
        <v>167</v>
      </c>
      <c r="AA5" s="39" t="s">
        <v>167</v>
      </c>
      <c r="AB5" s="86" t="s">
        <v>167</v>
      </c>
      <c r="AC5" s="86" t="s">
        <v>167</v>
      </c>
      <c r="AD5" s="39" t="s">
        <v>167</v>
      </c>
      <c r="AE5" s="86" t="s">
        <v>167</v>
      </c>
      <c r="AF5" s="86" t="s">
        <v>167</v>
      </c>
      <c r="AG5" s="39" t="s">
        <v>167</v>
      </c>
      <c r="AH5" s="86" t="s">
        <v>167</v>
      </c>
      <c r="AI5" s="86" t="s">
        <v>167</v>
      </c>
      <c r="AJ5" s="39" t="s">
        <v>167</v>
      </c>
    </row>
    <row r="6" spans="1:36" s="11" customFormat="1" ht="21" customHeight="1">
      <c r="A6" s="2279" t="s">
        <v>207</v>
      </c>
      <c r="B6" s="2573"/>
      <c r="C6" s="2573"/>
      <c r="D6" s="98">
        <v>34</v>
      </c>
      <c r="E6" s="98">
        <v>13</v>
      </c>
      <c r="F6" s="98">
        <v>21</v>
      </c>
      <c r="G6" s="98">
        <v>29</v>
      </c>
      <c r="H6" s="98">
        <v>8</v>
      </c>
      <c r="I6" s="98">
        <v>21</v>
      </c>
      <c r="J6" s="98">
        <v>25</v>
      </c>
      <c r="K6" s="98">
        <v>2</v>
      </c>
      <c r="L6" s="33">
        <v>23</v>
      </c>
      <c r="M6" s="98">
        <v>28</v>
      </c>
      <c r="N6" s="98">
        <v>8</v>
      </c>
      <c r="O6" s="98">
        <v>20</v>
      </c>
      <c r="P6" s="98">
        <v>17</v>
      </c>
      <c r="Q6" s="98">
        <v>13</v>
      </c>
      <c r="R6" s="33">
        <v>4</v>
      </c>
      <c r="S6" s="98">
        <v>34</v>
      </c>
      <c r="T6" s="98">
        <v>16</v>
      </c>
      <c r="U6" s="33">
        <v>18</v>
      </c>
      <c r="V6" s="98">
        <v>18</v>
      </c>
      <c r="W6" s="98">
        <v>11</v>
      </c>
      <c r="X6" s="98">
        <v>7</v>
      </c>
      <c r="Y6" s="98">
        <v>15</v>
      </c>
      <c r="Z6" s="98">
        <v>7</v>
      </c>
      <c r="AA6" s="33">
        <v>8</v>
      </c>
      <c r="AB6" s="98">
        <v>26</v>
      </c>
      <c r="AC6" s="98">
        <v>8</v>
      </c>
      <c r="AD6" s="33">
        <v>18</v>
      </c>
      <c r="AE6" s="98">
        <v>18</v>
      </c>
      <c r="AF6" s="98">
        <v>6</v>
      </c>
      <c r="AG6" s="33">
        <v>12</v>
      </c>
      <c r="AH6" s="98">
        <v>11</v>
      </c>
      <c r="AI6" s="98">
        <v>5</v>
      </c>
      <c r="AJ6" s="33">
        <v>6</v>
      </c>
    </row>
    <row r="7" spans="1:36" s="11" customFormat="1" ht="21" customHeight="1">
      <c r="A7" s="2279" t="s">
        <v>990</v>
      </c>
      <c r="B7" s="2573"/>
      <c r="C7" s="2573"/>
      <c r="D7" s="98" t="s">
        <v>345</v>
      </c>
      <c r="E7" s="98" t="s">
        <v>345</v>
      </c>
      <c r="F7" s="98" t="s">
        <v>345</v>
      </c>
      <c r="G7" s="98" t="s">
        <v>345</v>
      </c>
      <c r="H7" s="98" t="s">
        <v>345</v>
      </c>
      <c r="I7" s="98" t="s">
        <v>345</v>
      </c>
      <c r="J7" s="98">
        <v>1</v>
      </c>
      <c r="K7" s="98" t="s">
        <v>345</v>
      </c>
      <c r="L7" s="33">
        <v>1</v>
      </c>
      <c r="M7" s="98" t="s">
        <v>345</v>
      </c>
      <c r="N7" s="98" t="s">
        <v>345</v>
      </c>
      <c r="O7" s="98" t="s">
        <v>345</v>
      </c>
      <c r="P7" s="98" t="s">
        <v>345</v>
      </c>
      <c r="Q7" s="98" t="s">
        <v>345</v>
      </c>
      <c r="R7" s="33" t="s">
        <v>345</v>
      </c>
      <c r="S7" s="98" t="s">
        <v>345</v>
      </c>
      <c r="T7" s="98" t="s">
        <v>384</v>
      </c>
      <c r="U7" s="33" t="s">
        <v>384</v>
      </c>
      <c r="V7" s="33" t="s">
        <v>384</v>
      </c>
      <c r="W7" s="98" t="s">
        <v>384</v>
      </c>
      <c r="X7" s="98" t="s">
        <v>384</v>
      </c>
      <c r="Y7" s="98" t="s">
        <v>345</v>
      </c>
      <c r="Z7" s="98" t="s">
        <v>384</v>
      </c>
      <c r="AA7" s="33" t="s">
        <v>384</v>
      </c>
      <c r="AB7" s="98" t="s">
        <v>345</v>
      </c>
      <c r="AC7" s="98" t="s">
        <v>345</v>
      </c>
      <c r="AD7" s="33" t="s">
        <v>345</v>
      </c>
      <c r="AE7" s="98" t="s">
        <v>345</v>
      </c>
      <c r="AF7" s="98" t="s">
        <v>345</v>
      </c>
      <c r="AG7" s="33" t="s">
        <v>345</v>
      </c>
      <c r="AH7" s="98" t="s">
        <v>345</v>
      </c>
      <c r="AI7" s="98" t="s">
        <v>345</v>
      </c>
      <c r="AJ7" s="33" t="s">
        <v>345</v>
      </c>
    </row>
    <row r="8" spans="1:36" s="11" customFormat="1" ht="21" customHeight="1">
      <c r="A8" s="2279" t="s">
        <v>991</v>
      </c>
      <c r="B8" s="2573"/>
      <c r="C8" s="2573"/>
      <c r="D8" s="98">
        <v>1</v>
      </c>
      <c r="E8" s="98">
        <v>1</v>
      </c>
      <c r="F8" s="98" t="s">
        <v>345</v>
      </c>
      <c r="G8" s="98">
        <v>1</v>
      </c>
      <c r="H8" s="98">
        <v>1</v>
      </c>
      <c r="I8" s="98" t="s">
        <v>345</v>
      </c>
      <c r="J8" s="98" t="s">
        <v>345</v>
      </c>
      <c r="K8" s="98" t="s">
        <v>345</v>
      </c>
      <c r="L8" s="33" t="s">
        <v>345</v>
      </c>
      <c r="M8" s="98" t="s">
        <v>345</v>
      </c>
      <c r="N8" s="98" t="s">
        <v>345</v>
      </c>
      <c r="O8" s="98" t="s">
        <v>345</v>
      </c>
      <c r="P8" s="98">
        <v>2</v>
      </c>
      <c r="Q8" s="98">
        <v>2</v>
      </c>
      <c r="R8" s="33" t="s">
        <v>345</v>
      </c>
      <c r="S8" s="98" t="s">
        <v>384</v>
      </c>
      <c r="T8" s="98" t="s">
        <v>384</v>
      </c>
      <c r="U8" s="33" t="s">
        <v>384</v>
      </c>
      <c r="V8" s="33" t="s">
        <v>384</v>
      </c>
      <c r="W8" s="98" t="s">
        <v>384</v>
      </c>
      <c r="X8" s="98" t="s">
        <v>384</v>
      </c>
      <c r="Y8" s="98">
        <v>1</v>
      </c>
      <c r="Z8" s="98">
        <v>1</v>
      </c>
      <c r="AA8" s="33" t="s">
        <v>384</v>
      </c>
      <c r="AB8" s="98" t="s">
        <v>345</v>
      </c>
      <c r="AC8" s="98" t="s">
        <v>345</v>
      </c>
      <c r="AD8" s="33" t="s">
        <v>345</v>
      </c>
      <c r="AE8" s="98" t="s">
        <v>345</v>
      </c>
      <c r="AF8" s="98" t="s">
        <v>345</v>
      </c>
      <c r="AG8" s="33" t="s">
        <v>345</v>
      </c>
      <c r="AH8" s="98" t="s">
        <v>345</v>
      </c>
      <c r="AI8" s="98" t="s">
        <v>345</v>
      </c>
      <c r="AJ8" s="33" t="s">
        <v>345</v>
      </c>
    </row>
    <row r="9" spans="1:36" s="11" customFormat="1" ht="21" customHeight="1">
      <c r="A9" s="2279" t="s">
        <v>992</v>
      </c>
      <c r="B9" s="2573"/>
      <c r="C9" s="2573"/>
      <c r="D9" s="98">
        <v>12</v>
      </c>
      <c r="E9" s="98">
        <v>7</v>
      </c>
      <c r="F9" s="98">
        <v>5</v>
      </c>
      <c r="G9" s="98">
        <v>9</v>
      </c>
      <c r="H9" s="98">
        <v>2</v>
      </c>
      <c r="I9" s="98">
        <v>7</v>
      </c>
      <c r="J9" s="98">
        <v>4</v>
      </c>
      <c r="K9" s="98" t="s">
        <v>345</v>
      </c>
      <c r="L9" s="33">
        <v>4</v>
      </c>
      <c r="M9" s="98">
        <v>12</v>
      </c>
      <c r="N9" s="98">
        <v>5</v>
      </c>
      <c r="O9" s="98">
        <v>7</v>
      </c>
      <c r="P9" s="98">
        <v>8</v>
      </c>
      <c r="Q9" s="98">
        <v>6</v>
      </c>
      <c r="R9" s="33">
        <v>2</v>
      </c>
      <c r="S9" s="98">
        <v>18</v>
      </c>
      <c r="T9" s="98">
        <v>12</v>
      </c>
      <c r="U9" s="33">
        <v>6</v>
      </c>
      <c r="V9" s="98">
        <v>7</v>
      </c>
      <c r="W9" s="98">
        <v>6</v>
      </c>
      <c r="X9" s="98">
        <v>1</v>
      </c>
      <c r="Y9" s="98">
        <v>6</v>
      </c>
      <c r="Z9" s="98">
        <v>3</v>
      </c>
      <c r="AA9" s="33">
        <v>3</v>
      </c>
      <c r="AB9" s="98">
        <v>9</v>
      </c>
      <c r="AC9" s="98">
        <v>3</v>
      </c>
      <c r="AD9" s="33">
        <v>6</v>
      </c>
      <c r="AE9" s="98">
        <v>9</v>
      </c>
      <c r="AF9" s="98">
        <v>5</v>
      </c>
      <c r="AG9" s="33">
        <v>4</v>
      </c>
      <c r="AH9" s="98">
        <v>4</v>
      </c>
      <c r="AI9" s="98">
        <v>3</v>
      </c>
      <c r="AJ9" s="33">
        <v>1</v>
      </c>
    </row>
    <row r="10" spans="1:36" s="11" customFormat="1" ht="21" customHeight="1">
      <c r="A10" s="2279" t="s">
        <v>993</v>
      </c>
      <c r="B10" s="2573"/>
      <c r="C10" s="2573"/>
      <c r="D10" s="98" t="s">
        <v>345</v>
      </c>
      <c r="E10" s="98" t="s">
        <v>345</v>
      </c>
      <c r="F10" s="98" t="s">
        <v>345</v>
      </c>
      <c r="G10" s="98">
        <v>1</v>
      </c>
      <c r="H10" s="98" t="s">
        <v>345</v>
      </c>
      <c r="I10" s="98">
        <v>1</v>
      </c>
      <c r="J10" s="98">
        <v>2</v>
      </c>
      <c r="K10" s="98">
        <v>2</v>
      </c>
      <c r="L10" s="33" t="s">
        <v>345</v>
      </c>
      <c r="M10" s="98">
        <v>1</v>
      </c>
      <c r="N10" s="98">
        <v>1</v>
      </c>
      <c r="O10" s="98" t="s">
        <v>345</v>
      </c>
      <c r="P10" s="98" t="s">
        <v>345</v>
      </c>
      <c r="Q10" s="98" t="s">
        <v>345</v>
      </c>
      <c r="R10" s="33" t="s">
        <v>345</v>
      </c>
      <c r="S10" s="98" t="s">
        <v>384</v>
      </c>
      <c r="T10" s="98" t="s">
        <v>384</v>
      </c>
      <c r="U10" s="33" t="s">
        <v>384</v>
      </c>
      <c r="V10" s="33" t="s">
        <v>384</v>
      </c>
      <c r="W10" s="98" t="s">
        <v>384</v>
      </c>
      <c r="X10" s="98" t="s">
        <v>384</v>
      </c>
      <c r="Y10" s="98" t="s">
        <v>384</v>
      </c>
      <c r="Z10" s="98" t="s">
        <v>384</v>
      </c>
      <c r="AA10" s="33" t="s">
        <v>384</v>
      </c>
      <c r="AB10" s="98">
        <v>1</v>
      </c>
      <c r="AC10" s="98">
        <v>1</v>
      </c>
      <c r="AD10" s="33" t="s">
        <v>345</v>
      </c>
      <c r="AE10" s="98" t="s">
        <v>345</v>
      </c>
      <c r="AF10" s="98" t="s">
        <v>345</v>
      </c>
      <c r="AG10" s="33" t="s">
        <v>345</v>
      </c>
      <c r="AH10" s="98" t="s">
        <v>345</v>
      </c>
      <c r="AI10" s="98" t="s">
        <v>345</v>
      </c>
      <c r="AJ10" s="33" t="s">
        <v>345</v>
      </c>
    </row>
    <row r="11" spans="1:36" s="11" customFormat="1" ht="21" customHeight="1">
      <c r="A11" s="2279" t="s">
        <v>391</v>
      </c>
      <c r="B11" s="2573"/>
      <c r="C11" s="2573"/>
      <c r="D11" s="98" t="s">
        <v>345</v>
      </c>
      <c r="E11" s="98" t="s">
        <v>345</v>
      </c>
      <c r="F11" s="98" t="s">
        <v>345</v>
      </c>
      <c r="G11" s="98" t="s">
        <v>345</v>
      </c>
      <c r="H11" s="98" t="s">
        <v>345</v>
      </c>
      <c r="I11" s="98" t="s">
        <v>345</v>
      </c>
      <c r="J11" s="98" t="s">
        <v>345</v>
      </c>
      <c r="K11" s="98" t="s">
        <v>345</v>
      </c>
      <c r="L11" s="33" t="s">
        <v>345</v>
      </c>
      <c r="M11" s="98" t="s">
        <v>345</v>
      </c>
      <c r="N11" s="98" t="s">
        <v>345</v>
      </c>
      <c r="O11" s="98" t="s">
        <v>345</v>
      </c>
      <c r="P11" s="98" t="s">
        <v>345</v>
      </c>
      <c r="Q11" s="98" t="s">
        <v>345</v>
      </c>
      <c r="R11" s="33" t="s">
        <v>345</v>
      </c>
      <c r="S11" s="98" t="s">
        <v>384</v>
      </c>
      <c r="T11" s="98" t="s">
        <v>384</v>
      </c>
      <c r="U11" s="33" t="s">
        <v>384</v>
      </c>
      <c r="V11" s="33" t="s">
        <v>384</v>
      </c>
      <c r="W11" s="98" t="s">
        <v>384</v>
      </c>
      <c r="X11" s="98" t="s">
        <v>384</v>
      </c>
      <c r="Y11" s="98" t="s">
        <v>384</v>
      </c>
      <c r="Z11" s="98" t="s">
        <v>384</v>
      </c>
      <c r="AA11" s="33" t="s">
        <v>384</v>
      </c>
      <c r="AB11" s="98" t="s">
        <v>345</v>
      </c>
      <c r="AC11" s="98" t="s">
        <v>345</v>
      </c>
      <c r="AD11" s="33" t="s">
        <v>345</v>
      </c>
      <c r="AE11" s="98" t="s">
        <v>345</v>
      </c>
      <c r="AF11" s="98" t="s">
        <v>345</v>
      </c>
      <c r="AG11" s="33" t="s">
        <v>345</v>
      </c>
      <c r="AH11" s="98" t="s">
        <v>345</v>
      </c>
      <c r="AI11" s="98" t="s">
        <v>345</v>
      </c>
      <c r="AJ11" s="33" t="s">
        <v>345</v>
      </c>
    </row>
    <row r="12" spans="1:36" s="11" customFormat="1" ht="21" customHeight="1">
      <c r="A12" s="2279" t="s">
        <v>994</v>
      </c>
      <c r="B12" s="2573"/>
      <c r="C12" s="2573"/>
      <c r="D12" s="98" t="s">
        <v>345</v>
      </c>
      <c r="E12" s="98" t="s">
        <v>345</v>
      </c>
      <c r="F12" s="98" t="s">
        <v>345</v>
      </c>
      <c r="G12" s="98" t="s">
        <v>345</v>
      </c>
      <c r="H12" s="98" t="s">
        <v>345</v>
      </c>
      <c r="I12" s="98" t="s">
        <v>345</v>
      </c>
      <c r="J12" s="98">
        <v>1</v>
      </c>
      <c r="K12" s="98" t="s">
        <v>345</v>
      </c>
      <c r="L12" s="33">
        <v>1</v>
      </c>
      <c r="M12" s="98">
        <v>3</v>
      </c>
      <c r="N12" s="98">
        <v>2</v>
      </c>
      <c r="O12" s="98">
        <v>1</v>
      </c>
      <c r="P12" s="98" t="s">
        <v>345</v>
      </c>
      <c r="Q12" s="98" t="s">
        <v>345</v>
      </c>
      <c r="R12" s="33" t="s">
        <v>345</v>
      </c>
      <c r="S12" s="98">
        <v>4</v>
      </c>
      <c r="T12" s="98">
        <v>2</v>
      </c>
      <c r="U12" s="33">
        <v>2</v>
      </c>
      <c r="V12" s="98">
        <v>2</v>
      </c>
      <c r="W12" s="98">
        <v>1</v>
      </c>
      <c r="X12" s="98">
        <v>1</v>
      </c>
      <c r="Y12" s="98" t="s">
        <v>384</v>
      </c>
      <c r="Z12" s="98" t="s">
        <v>384</v>
      </c>
      <c r="AA12" s="33" t="s">
        <v>384</v>
      </c>
      <c r="AB12" s="98">
        <v>1</v>
      </c>
      <c r="AC12" s="98" t="s">
        <v>345</v>
      </c>
      <c r="AD12" s="33">
        <v>1</v>
      </c>
      <c r="AE12" s="98">
        <v>1</v>
      </c>
      <c r="AF12" s="98" t="s">
        <v>345</v>
      </c>
      <c r="AG12" s="33">
        <v>1</v>
      </c>
      <c r="AH12" s="98" t="s">
        <v>345</v>
      </c>
      <c r="AI12" s="98" t="s">
        <v>345</v>
      </c>
      <c r="AJ12" s="33" t="s">
        <v>345</v>
      </c>
    </row>
    <row r="13" spans="1:36" s="11" customFormat="1" ht="21" customHeight="1">
      <c r="A13" s="2279" t="s">
        <v>995</v>
      </c>
      <c r="B13" s="2573"/>
      <c r="C13" s="2573"/>
      <c r="D13" s="98">
        <v>3</v>
      </c>
      <c r="E13" s="98" t="s">
        <v>345</v>
      </c>
      <c r="F13" s="98">
        <v>3</v>
      </c>
      <c r="G13" s="98">
        <v>3</v>
      </c>
      <c r="H13" s="98" t="s">
        <v>345</v>
      </c>
      <c r="I13" s="98">
        <v>3</v>
      </c>
      <c r="J13" s="98">
        <v>8</v>
      </c>
      <c r="K13" s="98">
        <v>1</v>
      </c>
      <c r="L13" s="33">
        <v>7</v>
      </c>
      <c r="M13" s="98">
        <v>5</v>
      </c>
      <c r="N13" s="98">
        <v>2</v>
      </c>
      <c r="O13" s="98">
        <v>3</v>
      </c>
      <c r="P13" s="98">
        <v>1</v>
      </c>
      <c r="Q13" s="98" t="s">
        <v>345</v>
      </c>
      <c r="R13" s="33">
        <v>1</v>
      </c>
      <c r="S13" s="98">
        <v>2</v>
      </c>
      <c r="T13" s="98" t="s">
        <v>384</v>
      </c>
      <c r="U13" s="33">
        <v>2</v>
      </c>
      <c r="V13" s="33" t="s">
        <v>384</v>
      </c>
      <c r="W13" s="98" t="s">
        <v>384</v>
      </c>
      <c r="X13" s="98" t="s">
        <v>384</v>
      </c>
      <c r="Y13" s="98">
        <v>1</v>
      </c>
      <c r="Z13" s="98" t="s">
        <v>384</v>
      </c>
      <c r="AA13" s="33">
        <v>1</v>
      </c>
      <c r="AB13" s="98" t="s">
        <v>345</v>
      </c>
      <c r="AC13" s="98" t="s">
        <v>345</v>
      </c>
      <c r="AD13" s="33" t="s">
        <v>345</v>
      </c>
      <c r="AE13" s="98" t="s">
        <v>345</v>
      </c>
      <c r="AF13" s="98" t="s">
        <v>345</v>
      </c>
      <c r="AG13" s="33" t="s">
        <v>345</v>
      </c>
      <c r="AH13" s="98" t="s">
        <v>345</v>
      </c>
      <c r="AI13" s="98" t="s">
        <v>345</v>
      </c>
      <c r="AJ13" s="33" t="s">
        <v>345</v>
      </c>
    </row>
    <row r="14" spans="1:36" s="11" customFormat="1" ht="21" customHeight="1">
      <c r="A14" s="2279" t="s">
        <v>996</v>
      </c>
      <c r="B14" s="2573"/>
      <c r="C14" s="2573"/>
      <c r="D14" s="98" t="s">
        <v>345</v>
      </c>
      <c r="E14" s="98" t="s">
        <v>345</v>
      </c>
      <c r="F14" s="98" t="s">
        <v>345</v>
      </c>
      <c r="G14" s="98" t="s">
        <v>345</v>
      </c>
      <c r="H14" s="98" t="s">
        <v>345</v>
      </c>
      <c r="I14" s="98" t="s">
        <v>345</v>
      </c>
      <c r="J14" s="98" t="s">
        <v>345</v>
      </c>
      <c r="K14" s="98" t="s">
        <v>345</v>
      </c>
      <c r="L14" s="33" t="s">
        <v>345</v>
      </c>
      <c r="M14" s="98" t="s">
        <v>345</v>
      </c>
      <c r="N14" s="98" t="s">
        <v>345</v>
      </c>
      <c r="O14" s="98" t="s">
        <v>345</v>
      </c>
      <c r="P14" s="98" t="s">
        <v>345</v>
      </c>
      <c r="Q14" s="98" t="s">
        <v>345</v>
      </c>
      <c r="R14" s="33" t="s">
        <v>345</v>
      </c>
      <c r="S14" s="98" t="s">
        <v>384</v>
      </c>
      <c r="T14" s="98" t="s">
        <v>384</v>
      </c>
      <c r="U14" s="33" t="s">
        <v>384</v>
      </c>
      <c r="V14" s="33" t="s">
        <v>384</v>
      </c>
      <c r="W14" s="98" t="s">
        <v>384</v>
      </c>
      <c r="X14" s="98" t="s">
        <v>384</v>
      </c>
      <c r="Y14" s="98" t="s">
        <v>384</v>
      </c>
      <c r="Z14" s="98" t="s">
        <v>384</v>
      </c>
      <c r="AA14" s="33" t="s">
        <v>384</v>
      </c>
      <c r="AB14" s="98">
        <v>1</v>
      </c>
      <c r="AC14" s="98" t="s">
        <v>345</v>
      </c>
      <c r="AD14" s="33">
        <v>1</v>
      </c>
      <c r="AE14" s="98">
        <v>2</v>
      </c>
      <c r="AF14" s="98" t="s">
        <v>345</v>
      </c>
      <c r="AG14" s="33">
        <v>2</v>
      </c>
      <c r="AH14" s="98">
        <v>1</v>
      </c>
      <c r="AI14" s="98" t="s">
        <v>345</v>
      </c>
      <c r="AJ14" s="33" t="s">
        <v>345</v>
      </c>
    </row>
    <row r="15" spans="1:36" s="11" customFormat="1" ht="21" customHeight="1">
      <c r="A15" s="2279" t="s">
        <v>997</v>
      </c>
      <c r="B15" s="2573"/>
      <c r="C15" s="2573"/>
      <c r="D15" s="98" t="s">
        <v>345</v>
      </c>
      <c r="E15" s="98" t="s">
        <v>345</v>
      </c>
      <c r="F15" s="98" t="s">
        <v>345</v>
      </c>
      <c r="G15" s="98" t="s">
        <v>345</v>
      </c>
      <c r="H15" s="98" t="s">
        <v>345</v>
      </c>
      <c r="I15" s="98" t="s">
        <v>345</v>
      </c>
      <c r="J15" s="98" t="s">
        <v>345</v>
      </c>
      <c r="K15" s="98" t="s">
        <v>345</v>
      </c>
      <c r="L15" s="33" t="s">
        <v>345</v>
      </c>
      <c r="M15" s="98" t="s">
        <v>345</v>
      </c>
      <c r="N15" s="98" t="s">
        <v>345</v>
      </c>
      <c r="O15" s="98" t="s">
        <v>345</v>
      </c>
      <c r="P15" s="98" t="s">
        <v>345</v>
      </c>
      <c r="Q15" s="98" t="s">
        <v>345</v>
      </c>
      <c r="R15" s="33" t="s">
        <v>345</v>
      </c>
      <c r="S15" s="98" t="s">
        <v>384</v>
      </c>
      <c r="T15" s="98" t="s">
        <v>384</v>
      </c>
      <c r="U15" s="33" t="s">
        <v>384</v>
      </c>
      <c r="V15" s="33" t="s">
        <v>384</v>
      </c>
      <c r="W15" s="98" t="s">
        <v>384</v>
      </c>
      <c r="X15" s="98" t="s">
        <v>384</v>
      </c>
      <c r="Y15" s="98" t="s">
        <v>384</v>
      </c>
      <c r="Z15" s="98" t="s">
        <v>384</v>
      </c>
      <c r="AA15" s="33" t="s">
        <v>384</v>
      </c>
      <c r="AB15" s="98" t="s">
        <v>345</v>
      </c>
      <c r="AC15" s="98" t="s">
        <v>345</v>
      </c>
      <c r="AD15" s="33" t="s">
        <v>345</v>
      </c>
      <c r="AE15" s="98" t="s">
        <v>345</v>
      </c>
      <c r="AF15" s="98" t="s">
        <v>345</v>
      </c>
      <c r="AG15" s="33" t="s">
        <v>345</v>
      </c>
      <c r="AH15" s="98" t="s">
        <v>345</v>
      </c>
      <c r="AI15" s="98" t="s">
        <v>345</v>
      </c>
      <c r="AJ15" s="33" t="s">
        <v>345</v>
      </c>
    </row>
    <row r="16" spans="1:36" s="11" customFormat="1" ht="21" customHeight="1">
      <c r="A16" s="2279" t="s">
        <v>998</v>
      </c>
      <c r="B16" s="2573"/>
      <c r="C16" s="2573"/>
      <c r="D16" s="98">
        <v>5</v>
      </c>
      <c r="E16" s="98">
        <v>3</v>
      </c>
      <c r="F16" s="98">
        <v>2</v>
      </c>
      <c r="G16" s="98">
        <v>3</v>
      </c>
      <c r="H16" s="98">
        <v>1</v>
      </c>
      <c r="I16" s="98">
        <v>2</v>
      </c>
      <c r="J16" s="98">
        <v>5</v>
      </c>
      <c r="K16" s="98" t="s">
        <v>345</v>
      </c>
      <c r="L16" s="33">
        <v>5</v>
      </c>
      <c r="M16" s="98">
        <v>4</v>
      </c>
      <c r="N16" s="98">
        <v>1</v>
      </c>
      <c r="O16" s="98">
        <v>3</v>
      </c>
      <c r="P16" s="98">
        <v>1</v>
      </c>
      <c r="Q16" s="98">
        <v>1</v>
      </c>
      <c r="R16" s="33" t="s">
        <v>345</v>
      </c>
      <c r="S16" s="98">
        <v>2</v>
      </c>
      <c r="T16" s="98" t="s">
        <v>384</v>
      </c>
      <c r="U16" s="33">
        <v>2</v>
      </c>
      <c r="V16" s="98">
        <v>1</v>
      </c>
      <c r="W16" s="98">
        <v>1</v>
      </c>
      <c r="X16" s="98" t="s">
        <v>384</v>
      </c>
      <c r="Y16" s="98" t="s">
        <v>384</v>
      </c>
      <c r="Z16" s="98" t="s">
        <v>384</v>
      </c>
      <c r="AA16" s="33" t="s">
        <v>384</v>
      </c>
      <c r="AB16" s="98">
        <v>2</v>
      </c>
      <c r="AC16" s="98" t="s">
        <v>345</v>
      </c>
      <c r="AD16" s="33">
        <v>2</v>
      </c>
      <c r="AE16" s="98">
        <v>1</v>
      </c>
      <c r="AF16" s="98" t="s">
        <v>345</v>
      </c>
      <c r="AG16" s="33">
        <v>1</v>
      </c>
      <c r="AH16" s="98">
        <v>1</v>
      </c>
      <c r="AI16" s="98" t="s">
        <v>345</v>
      </c>
      <c r="AJ16" s="33">
        <v>1</v>
      </c>
    </row>
    <row r="17" spans="1:36" s="11" customFormat="1" ht="21" customHeight="1">
      <c r="A17" s="2279" t="s">
        <v>427</v>
      </c>
      <c r="B17" s="2573"/>
      <c r="C17" s="2573"/>
      <c r="D17" s="98">
        <v>8</v>
      </c>
      <c r="E17" s="98">
        <v>1</v>
      </c>
      <c r="F17" s="98">
        <v>7</v>
      </c>
      <c r="G17" s="98">
        <v>5</v>
      </c>
      <c r="H17" s="98">
        <v>1</v>
      </c>
      <c r="I17" s="98">
        <v>4</v>
      </c>
      <c r="J17" s="98">
        <v>1</v>
      </c>
      <c r="K17" s="98" t="s">
        <v>345</v>
      </c>
      <c r="L17" s="33">
        <v>1</v>
      </c>
      <c r="M17" s="98">
        <v>1</v>
      </c>
      <c r="N17" s="98" t="s">
        <v>345</v>
      </c>
      <c r="O17" s="98">
        <v>1</v>
      </c>
      <c r="P17" s="98" t="s">
        <v>345</v>
      </c>
      <c r="Q17" s="98" t="s">
        <v>345</v>
      </c>
      <c r="R17" s="33" t="s">
        <v>345</v>
      </c>
      <c r="S17" s="98">
        <v>2</v>
      </c>
      <c r="T17" s="98" t="s">
        <v>384</v>
      </c>
      <c r="U17" s="33">
        <v>2</v>
      </c>
      <c r="V17" s="98">
        <v>1</v>
      </c>
      <c r="W17" s="98" t="s">
        <v>384</v>
      </c>
      <c r="X17" s="98">
        <v>1</v>
      </c>
      <c r="Y17" s="98">
        <v>1</v>
      </c>
      <c r="Z17" s="98" t="s">
        <v>384</v>
      </c>
      <c r="AA17" s="33">
        <v>1</v>
      </c>
      <c r="AB17" s="98">
        <v>2</v>
      </c>
      <c r="AC17" s="98">
        <v>1</v>
      </c>
      <c r="AD17" s="33">
        <v>1</v>
      </c>
      <c r="AE17" s="98">
        <v>3</v>
      </c>
      <c r="AF17" s="98" t="s">
        <v>345</v>
      </c>
      <c r="AG17" s="33">
        <v>3</v>
      </c>
      <c r="AH17" s="98">
        <v>2</v>
      </c>
      <c r="AI17" s="98" t="s">
        <v>345</v>
      </c>
      <c r="AJ17" s="33">
        <v>2</v>
      </c>
    </row>
    <row r="18" spans="1:36" s="11" customFormat="1" ht="21" customHeight="1">
      <c r="A18" s="2279" t="s">
        <v>429</v>
      </c>
      <c r="B18" s="2573"/>
      <c r="C18" s="2573"/>
      <c r="D18" s="98">
        <v>4</v>
      </c>
      <c r="E18" s="98" t="s">
        <v>345</v>
      </c>
      <c r="F18" s="98">
        <v>4</v>
      </c>
      <c r="G18" s="98">
        <v>4</v>
      </c>
      <c r="H18" s="98">
        <v>1</v>
      </c>
      <c r="I18" s="98">
        <v>3</v>
      </c>
      <c r="J18" s="98">
        <v>8</v>
      </c>
      <c r="K18" s="98">
        <v>2</v>
      </c>
      <c r="L18" s="33">
        <v>6</v>
      </c>
      <c r="M18" s="98">
        <v>7</v>
      </c>
      <c r="N18" s="98">
        <v>1</v>
      </c>
      <c r="O18" s="98">
        <v>6</v>
      </c>
      <c r="P18" s="98">
        <v>2</v>
      </c>
      <c r="Q18" s="98">
        <v>1</v>
      </c>
      <c r="R18" s="33">
        <v>1</v>
      </c>
      <c r="S18" s="98">
        <v>2</v>
      </c>
      <c r="T18" s="98">
        <v>1</v>
      </c>
      <c r="U18" s="33">
        <v>1</v>
      </c>
      <c r="V18" s="33" t="s">
        <v>384</v>
      </c>
      <c r="W18" s="98" t="s">
        <v>384</v>
      </c>
      <c r="X18" s="98" t="s">
        <v>384</v>
      </c>
      <c r="Y18" s="98">
        <v>1</v>
      </c>
      <c r="Z18" s="98" t="s">
        <v>384</v>
      </c>
      <c r="AA18" s="33">
        <v>1</v>
      </c>
      <c r="AB18" s="98">
        <v>2</v>
      </c>
      <c r="AC18" s="98">
        <v>2</v>
      </c>
      <c r="AD18" s="33" t="s">
        <v>345</v>
      </c>
      <c r="AE18" s="98">
        <v>1</v>
      </c>
      <c r="AF18" s="98" t="s">
        <v>345</v>
      </c>
      <c r="AG18" s="33">
        <v>1</v>
      </c>
      <c r="AH18" s="98">
        <v>3</v>
      </c>
      <c r="AI18" s="98">
        <v>2</v>
      </c>
      <c r="AJ18" s="33">
        <v>1</v>
      </c>
    </row>
    <row r="19" spans="1:36" s="11" customFormat="1" ht="21" customHeight="1">
      <c r="A19" s="2279" t="s">
        <v>999</v>
      </c>
      <c r="B19" s="2573"/>
      <c r="C19" s="2573"/>
      <c r="D19" s="98">
        <v>1</v>
      </c>
      <c r="E19" s="98">
        <v>1</v>
      </c>
      <c r="F19" s="98" t="s">
        <v>345</v>
      </c>
      <c r="G19" s="98">
        <v>3</v>
      </c>
      <c r="H19" s="98">
        <v>2</v>
      </c>
      <c r="I19" s="98">
        <v>1</v>
      </c>
      <c r="J19" s="98" t="s">
        <v>345</v>
      </c>
      <c r="K19" s="98" t="s">
        <v>345</v>
      </c>
      <c r="L19" s="33" t="s">
        <v>345</v>
      </c>
      <c r="M19" s="98">
        <v>1</v>
      </c>
      <c r="N19" s="98">
        <v>1</v>
      </c>
      <c r="O19" s="98" t="s">
        <v>345</v>
      </c>
      <c r="P19" s="98">
        <v>3</v>
      </c>
      <c r="Q19" s="98">
        <v>3</v>
      </c>
      <c r="R19" s="33" t="s">
        <v>345</v>
      </c>
      <c r="S19" s="98">
        <v>4</v>
      </c>
      <c r="T19" s="98">
        <v>1</v>
      </c>
      <c r="U19" s="33">
        <v>3</v>
      </c>
      <c r="V19" s="98">
        <v>7</v>
      </c>
      <c r="W19" s="98">
        <v>3</v>
      </c>
      <c r="X19" s="98">
        <v>4</v>
      </c>
      <c r="Y19" s="98">
        <v>5</v>
      </c>
      <c r="Z19" s="98">
        <v>3</v>
      </c>
      <c r="AA19" s="33">
        <v>2</v>
      </c>
      <c r="AB19" s="98">
        <v>4</v>
      </c>
      <c r="AC19" s="98">
        <v>1</v>
      </c>
      <c r="AD19" s="33">
        <v>3</v>
      </c>
      <c r="AE19" s="98">
        <v>1</v>
      </c>
      <c r="AF19" s="98">
        <v>1</v>
      </c>
      <c r="AG19" s="33" t="s">
        <v>345</v>
      </c>
      <c r="AH19" s="98" t="s">
        <v>345</v>
      </c>
      <c r="AI19" s="98" t="s">
        <v>345</v>
      </c>
      <c r="AJ19" s="33" t="s">
        <v>345</v>
      </c>
    </row>
    <row r="20" spans="1:36" s="11" customFormat="1" ht="21" customHeight="1" thickBot="1">
      <c r="A20" s="2281" t="s">
        <v>1000</v>
      </c>
      <c r="B20" s="2575"/>
      <c r="C20" s="2575"/>
      <c r="D20" s="655" t="s">
        <v>345</v>
      </c>
      <c r="E20" s="655" t="s">
        <v>345</v>
      </c>
      <c r="F20" s="655" t="s">
        <v>345</v>
      </c>
      <c r="G20" s="655" t="s">
        <v>345</v>
      </c>
      <c r="H20" s="655" t="s">
        <v>345</v>
      </c>
      <c r="I20" s="655" t="s">
        <v>345</v>
      </c>
      <c r="J20" s="655">
        <v>5</v>
      </c>
      <c r="K20" s="655">
        <v>5</v>
      </c>
      <c r="L20" s="656" t="s">
        <v>345</v>
      </c>
      <c r="M20" s="655">
        <v>6</v>
      </c>
      <c r="N20" s="655">
        <v>4</v>
      </c>
      <c r="O20" s="655">
        <v>2</v>
      </c>
      <c r="P20" s="655" t="s">
        <v>345</v>
      </c>
      <c r="Q20" s="655" t="s">
        <v>345</v>
      </c>
      <c r="R20" s="656" t="s">
        <v>345</v>
      </c>
      <c r="S20" s="655" t="s">
        <v>384</v>
      </c>
      <c r="T20" s="655" t="s">
        <v>384</v>
      </c>
      <c r="U20" s="656" t="s">
        <v>384</v>
      </c>
      <c r="V20" s="655" t="s">
        <v>384</v>
      </c>
      <c r="W20" s="655" t="s">
        <v>384</v>
      </c>
      <c r="X20" s="655" t="s">
        <v>384</v>
      </c>
      <c r="Y20" s="655" t="s">
        <v>384</v>
      </c>
      <c r="Z20" s="655" t="s">
        <v>384</v>
      </c>
      <c r="AA20" s="656" t="s">
        <v>384</v>
      </c>
      <c r="AB20" s="655">
        <v>1</v>
      </c>
      <c r="AC20" s="655" t="s">
        <v>345</v>
      </c>
      <c r="AD20" s="656">
        <v>1</v>
      </c>
      <c r="AE20" s="655" t="s">
        <v>345</v>
      </c>
      <c r="AF20" s="655" t="s">
        <v>345</v>
      </c>
      <c r="AG20" s="656" t="s">
        <v>345</v>
      </c>
      <c r="AH20" s="655" t="s">
        <v>345</v>
      </c>
      <c r="AI20" s="655" t="s">
        <v>345</v>
      </c>
      <c r="AJ20" s="656" t="s">
        <v>345</v>
      </c>
    </row>
    <row r="21" spans="1:36" s="11" customFormat="1" ht="21" customHeight="1">
      <c r="A21" s="2200" t="s">
        <v>1001</v>
      </c>
      <c r="B21" s="2200"/>
      <c r="C21" s="2200"/>
    </row>
    <row r="22" spans="1:36" ht="21" customHeight="1"/>
    <row r="23" spans="1:36" ht="21" customHeight="1"/>
  </sheetData>
  <mergeCells count="29">
    <mergeCell ref="A17:C17"/>
    <mergeCell ref="A18:C18"/>
    <mergeCell ref="A19:C19"/>
    <mergeCell ref="A20:C20"/>
    <mergeCell ref="A21:C21"/>
    <mergeCell ref="A16:C16"/>
    <mergeCell ref="A5:C5"/>
    <mergeCell ref="A6:C6"/>
    <mergeCell ref="A7:C7"/>
    <mergeCell ref="A8:C8"/>
    <mergeCell ref="A9:C9"/>
    <mergeCell ref="A10:C10"/>
    <mergeCell ref="A11:C11"/>
    <mergeCell ref="A12:C12"/>
    <mergeCell ref="A13:C13"/>
    <mergeCell ref="A14:C14"/>
    <mergeCell ref="A15:C15"/>
    <mergeCell ref="A3:C4"/>
    <mergeCell ref="AH3:AJ3"/>
    <mergeCell ref="D3:F3"/>
    <mergeCell ref="G3:I3"/>
    <mergeCell ref="J3:L3"/>
    <mergeCell ref="M3:O3"/>
    <mergeCell ref="P3:R3"/>
    <mergeCell ref="S3:U3"/>
    <mergeCell ref="V3:X3"/>
    <mergeCell ref="Y3:AA3"/>
    <mergeCell ref="AB3:AD3"/>
    <mergeCell ref="AE3:AG3"/>
  </mergeCells>
  <phoneticPr fontId="4"/>
  <pageMargins left="0.70866141732283472" right="0.70866141732283472" top="0.74803149606299213" bottom="0.74803149606299213" header="0.31496062992125984" footer="0.31496062992125984"/>
  <pageSetup paperSize="9" scale="8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1D3D4-C13E-438D-AAAC-0A5FFEFF4A11}">
  <sheetPr codeName="Sheet45">
    <pageSetUpPr fitToPage="1"/>
  </sheetPr>
  <dimension ref="A1:AH34"/>
  <sheetViews>
    <sheetView showGridLines="0" workbookViewId="0"/>
  </sheetViews>
  <sheetFormatPr defaultRowHeight="13.2"/>
  <cols>
    <col min="1" max="1" width="20" style="82" customWidth="1"/>
    <col min="2" max="34" width="3.19921875" style="82" customWidth="1"/>
    <col min="35" max="91" width="9" style="82"/>
    <col min="92" max="92" width="26.8984375" style="82" customWidth="1"/>
    <col min="93" max="98" width="6.59765625" style="82" customWidth="1"/>
    <col min="99" max="347" width="9" style="82"/>
    <col min="348" max="348" width="26.8984375" style="82" customWidth="1"/>
    <col min="349" max="354" width="6.59765625" style="82" customWidth="1"/>
    <col min="355" max="603" width="9" style="82"/>
    <col min="604" max="604" width="26.8984375" style="82" customWidth="1"/>
    <col min="605" max="610" width="6.59765625" style="82" customWidth="1"/>
    <col min="611" max="859" width="9" style="82"/>
    <col min="860" max="860" width="26.8984375" style="82" customWidth="1"/>
    <col min="861" max="866" width="6.59765625" style="82" customWidth="1"/>
    <col min="867" max="1115" width="9" style="82"/>
    <col min="1116" max="1116" width="26.8984375" style="82" customWidth="1"/>
    <col min="1117" max="1122" width="6.59765625" style="82" customWidth="1"/>
    <col min="1123" max="1371" width="9" style="82"/>
    <col min="1372" max="1372" width="26.8984375" style="82" customWidth="1"/>
    <col min="1373" max="1378" width="6.59765625" style="82" customWidth="1"/>
    <col min="1379" max="1627" width="9" style="82"/>
    <col min="1628" max="1628" width="26.8984375" style="82" customWidth="1"/>
    <col min="1629" max="1634" width="6.59765625" style="82" customWidth="1"/>
    <col min="1635" max="1883" width="9" style="82"/>
    <col min="1884" max="1884" width="26.8984375" style="82" customWidth="1"/>
    <col min="1885" max="1890" width="6.59765625" style="82" customWidth="1"/>
    <col min="1891" max="2139" width="9" style="82"/>
    <col min="2140" max="2140" width="26.8984375" style="82" customWidth="1"/>
    <col min="2141" max="2146" width="6.59765625" style="82" customWidth="1"/>
    <col min="2147" max="2395" width="9" style="82"/>
    <col min="2396" max="2396" width="26.8984375" style="82" customWidth="1"/>
    <col min="2397" max="2402" width="6.59765625" style="82" customWidth="1"/>
    <col min="2403" max="2651" width="9" style="82"/>
    <col min="2652" max="2652" width="26.8984375" style="82" customWidth="1"/>
    <col min="2653" max="2658" width="6.59765625" style="82" customWidth="1"/>
    <col min="2659" max="2907" width="9" style="82"/>
    <col min="2908" max="2908" width="26.8984375" style="82" customWidth="1"/>
    <col min="2909" max="2914" width="6.59765625" style="82" customWidth="1"/>
    <col min="2915" max="3163" width="9" style="82"/>
    <col min="3164" max="3164" width="26.8984375" style="82" customWidth="1"/>
    <col min="3165" max="3170" width="6.59765625" style="82" customWidth="1"/>
    <col min="3171" max="3419" width="9" style="82"/>
    <col min="3420" max="3420" width="26.8984375" style="82" customWidth="1"/>
    <col min="3421" max="3426" width="6.59765625" style="82" customWidth="1"/>
    <col min="3427" max="3675" width="9" style="82"/>
    <col min="3676" max="3676" width="26.8984375" style="82" customWidth="1"/>
    <col min="3677" max="3682" width="6.59765625" style="82" customWidth="1"/>
    <col min="3683" max="3931" width="9" style="82"/>
    <col min="3932" max="3932" width="26.8984375" style="82" customWidth="1"/>
    <col min="3933" max="3938" width="6.59765625" style="82" customWidth="1"/>
    <col min="3939" max="4187" width="9" style="82"/>
    <col min="4188" max="4188" width="26.8984375" style="82" customWidth="1"/>
    <col min="4189" max="4194" width="6.59765625" style="82" customWidth="1"/>
    <col min="4195" max="4443" width="9" style="82"/>
    <col min="4444" max="4444" width="26.8984375" style="82" customWidth="1"/>
    <col min="4445" max="4450" width="6.59765625" style="82" customWidth="1"/>
    <col min="4451" max="4699" width="9" style="82"/>
    <col min="4700" max="4700" width="26.8984375" style="82" customWidth="1"/>
    <col min="4701" max="4706" width="6.59765625" style="82" customWidth="1"/>
    <col min="4707" max="4955" width="9" style="82"/>
    <col min="4956" max="4956" width="26.8984375" style="82" customWidth="1"/>
    <col min="4957" max="4962" width="6.59765625" style="82" customWidth="1"/>
    <col min="4963" max="5211" width="9" style="82"/>
    <col min="5212" max="5212" width="26.8984375" style="82" customWidth="1"/>
    <col min="5213" max="5218" width="6.59765625" style="82" customWidth="1"/>
    <col min="5219" max="5467" width="9" style="82"/>
    <col min="5468" max="5468" width="26.8984375" style="82" customWidth="1"/>
    <col min="5469" max="5474" width="6.59765625" style="82" customWidth="1"/>
    <col min="5475" max="5723" width="9" style="82"/>
    <col min="5724" max="5724" width="26.8984375" style="82" customWidth="1"/>
    <col min="5725" max="5730" width="6.59765625" style="82" customWidth="1"/>
    <col min="5731" max="5979" width="9" style="82"/>
    <col min="5980" max="5980" width="26.8984375" style="82" customWidth="1"/>
    <col min="5981" max="5986" width="6.59765625" style="82" customWidth="1"/>
    <col min="5987" max="6235" width="9" style="82"/>
    <col min="6236" max="6236" width="26.8984375" style="82" customWidth="1"/>
    <col min="6237" max="6242" width="6.59765625" style="82" customWidth="1"/>
    <col min="6243" max="6491" width="9" style="82"/>
    <col min="6492" max="6492" width="26.8984375" style="82" customWidth="1"/>
    <col min="6493" max="6498" width="6.59765625" style="82" customWidth="1"/>
    <col min="6499" max="6747" width="9" style="82"/>
    <col min="6748" max="6748" width="26.8984375" style="82" customWidth="1"/>
    <col min="6749" max="6754" width="6.59765625" style="82" customWidth="1"/>
    <col min="6755" max="7003" width="9" style="82"/>
    <col min="7004" max="7004" width="26.8984375" style="82" customWidth="1"/>
    <col min="7005" max="7010" width="6.59765625" style="82" customWidth="1"/>
    <col min="7011" max="7259" width="9" style="82"/>
    <col min="7260" max="7260" width="26.8984375" style="82" customWidth="1"/>
    <col min="7261" max="7266" width="6.59765625" style="82" customWidth="1"/>
    <col min="7267" max="7515" width="9" style="82"/>
    <col min="7516" max="7516" width="26.8984375" style="82" customWidth="1"/>
    <col min="7517" max="7522" width="6.59765625" style="82" customWidth="1"/>
    <col min="7523" max="7771" width="9" style="82"/>
    <col min="7772" max="7772" width="26.8984375" style="82" customWidth="1"/>
    <col min="7773" max="7778" width="6.59765625" style="82" customWidth="1"/>
    <col min="7779" max="8027" width="9" style="82"/>
    <col min="8028" max="8028" width="26.8984375" style="82" customWidth="1"/>
    <col min="8029" max="8034" width="6.59765625" style="82" customWidth="1"/>
    <col min="8035" max="8283" width="9" style="82"/>
    <col min="8284" max="8284" width="26.8984375" style="82" customWidth="1"/>
    <col min="8285" max="8290" width="6.59765625" style="82" customWidth="1"/>
    <col min="8291" max="8539" width="9" style="82"/>
    <col min="8540" max="8540" width="26.8984375" style="82" customWidth="1"/>
    <col min="8541" max="8546" width="6.59765625" style="82" customWidth="1"/>
    <col min="8547" max="8795" width="9" style="82"/>
    <col min="8796" max="8796" width="26.8984375" style="82" customWidth="1"/>
    <col min="8797" max="8802" width="6.59765625" style="82" customWidth="1"/>
    <col min="8803" max="9051" width="9" style="82"/>
    <col min="9052" max="9052" width="26.8984375" style="82" customWidth="1"/>
    <col min="9053" max="9058" width="6.59765625" style="82" customWidth="1"/>
    <col min="9059" max="9307" width="9" style="82"/>
    <col min="9308" max="9308" width="26.8984375" style="82" customWidth="1"/>
    <col min="9309" max="9314" width="6.59765625" style="82" customWidth="1"/>
    <col min="9315" max="9563" width="9" style="82"/>
    <col min="9564" max="9564" width="26.8984375" style="82" customWidth="1"/>
    <col min="9565" max="9570" width="6.59765625" style="82" customWidth="1"/>
    <col min="9571" max="9819" width="9" style="82"/>
    <col min="9820" max="9820" width="26.8984375" style="82" customWidth="1"/>
    <col min="9821" max="9826" width="6.59765625" style="82" customWidth="1"/>
    <col min="9827" max="10075" width="9" style="82"/>
    <col min="10076" max="10076" width="26.8984375" style="82" customWidth="1"/>
    <col min="10077" max="10082" width="6.59765625" style="82" customWidth="1"/>
    <col min="10083" max="10331" width="9" style="82"/>
    <col min="10332" max="10332" width="26.8984375" style="82" customWidth="1"/>
    <col min="10333" max="10338" width="6.59765625" style="82" customWidth="1"/>
    <col min="10339" max="10587" width="9" style="82"/>
    <col min="10588" max="10588" width="26.8984375" style="82" customWidth="1"/>
    <col min="10589" max="10594" width="6.59765625" style="82" customWidth="1"/>
    <col min="10595" max="10843" width="9" style="82"/>
    <col min="10844" max="10844" width="26.8984375" style="82" customWidth="1"/>
    <col min="10845" max="10850" width="6.59765625" style="82" customWidth="1"/>
    <col min="10851" max="11099" width="9" style="82"/>
    <col min="11100" max="11100" width="26.8984375" style="82" customWidth="1"/>
    <col min="11101" max="11106" width="6.59765625" style="82" customWidth="1"/>
    <col min="11107" max="11355" width="9" style="82"/>
    <col min="11356" max="11356" width="26.8984375" style="82" customWidth="1"/>
    <col min="11357" max="11362" width="6.59765625" style="82" customWidth="1"/>
    <col min="11363" max="11611" width="9" style="82"/>
    <col min="11612" max="11612" width="26.8984375" style="82" customWidth="1"/>
    <col min="11613" max="11618" width="6.59765625" style="82" customWidth="1"/>
    <col min="11619" max="11867" width="9" style="82"/>
    <col min="11868" max="11868" width="26.8984375" style="82" customWidth="1"/>
    <col min="11869" max="11874" width="6.59765625" style="82" customWidth="1"/>
    <col min="11875" max="12123" width="9" style="82"/>
    <col min="12124" max="12124" width="26.8984375" style="82" customWidth="1"/>
    <col min="12125" max="12130" width="6.59765625" style="82" customWidth="1"/>
    <col min="12131" max="12379" width="9" style="82"/>
    <col min="12380" max="12380" width="26.8984375" style="82" customWidth="1"/>
    <col min="12381" max="12386" width="6.59765625" style="82" customWidth="1"/>
    <col min="12387" max="12635" width="9" style="82"/>
    <col min="12636" max="12636" width="26.8984375" style="82" customWidth="1"/>
    <col min="12637" max="12642" width="6.59765625" style="82" customWidth="1"/>
    <col min="12643" max="12891" width="9" style="82"/>
    <col min="12892" max="12892" width="26.8984375" style="82" customWidth="1"/>
    <col min="12893" max="12898" width="6.59765625" style="82" customWidth="1"/>
    <col min="12899" max="13147" width="9" style="82"/>
    <col min="13148" max="13148" width="26.8984375" style="82" customWidth="1"/>
    <col min="13149" max="13154" width="6.59765625" style="82" customWidth="1"/>
    <col min="13155" max="13403" width="9" style="82"/>
    <col min="13404" max="13404" width="26.8984375" style="82" customWidth="1"/>
    <col min="13405" max="13410" width="6.59765625" style="82" customWidth="1"/>
    <col min="13411" max="13659" width="9" style="82"/>
    <col min="13660" max="13660" width="26.8984375" style="82" customWidth="1"/>
    <col min="13661" max="13666" width="6.59765625" style="82" customWidth="1"/>
    <col min="13667" max="13915" width="9" style="82"/>
    <col min="13916" max="13916" width="26.8984375" style="82" customWidth="1"/>
    <col min="13917" max="13922" width="6.59765625" style="82" customWidth="1"/>
    <col min="13923" max="14171" width="9" style="82"/>
    <col min="14172" max="14172" width="26.8984375" style="82" customWidth="1"/>
    <col min="14173" max="14178" width="6.59765625" style="82" customWidth="1"/>
    <col min="14179" max="14427" width="9" style="82"/>
    <col min="14428" max="14428" width="26.8984375" style="82" customWidth="1"/>
    <col min="14429" max="14434" width="6.59765625" style="82" customWidth="1"/>
    <col min="14435" max="14683" width="9" style="82"/>
    <col min="14684" max="14684" width="26.8984375" style="82" customWidth="1"/>
    <col min="14685" max="14690" width="6.59765625" style="82" customWidth="1"/>
    <col min="14691" max="14939" width="9" style="82"/>
    <col min="14940" max="14940" width="26.8984375" style="82" customWidth="1"/>
    <col min="14941" max="14946" width="6.59765625" style="82" customWidth="1"/>
    <col min="14947" max="15195" width="9" style="82"/>
    <col min="15196" max="15196" width="26.8984375" style="82" customWidth="1"/>
    <col min="15197" max="15202" width="6.59765625" style="82" customWidth="1"/>
    <col min="15203" max="15451" width="9" style="82"/>
    <col min="15452" max="15452" width="26.8984375" style="82" customWidth="1"/>
    <col min="15453" max="15458" width="6.59765625" style="82" customWidth="1"/>
    <col min="15459" max="15707" width="9" style="82"/>
    <col min="15708" max="15708" width="26.8984375" style="82" customWidth="1"/>
    <col min="15709" max="15714" width="6.59765625" style="82" customWidth="1"/>
    <col min="15715" max="15963" width="9" style="82"/>
    <col min="15964" max="15964" width="26.8984375" style="82" customWidth="1"/>
    <col min="15965" max="15970" width="6.59765625" style="82" customWidth="1"/>
    <col min="15971" max="16384" width="9" style="82"/>
  </cols>
  <sheetData>
    <row r="1" spans="1:34" ht="30" customHeight="1">
      <c r="A1" s="259" t="s">
        <v>1002</v>
      </c>
      <c r="B1" s="259"/>
      <c r="C1" s="259"/>
      <c r="D1" s="260"/>
    </row>
    <row r="2" spans="1:34" s="29" customFormat="1" ht="11.4" thickBot="1">
      <c r="A2" s="11"/>
      <c r="B2" s="11"/>
      <c r="C2" s="11"/>
      <c r="AH2" s="260" t="s">
        <v>666</v>
      </c>
    </row>
    <row r="3" spans="1:34" s="11" customFormat="1" ht="21" customHeight="1">
      <c r="A3" s="2180" t="s">
        <v>1003</v>
      </c>
      <c r="B3" s="2183" t="s">
        <v>979</v>
      </c>
      <c r="C3" s="2184"/>
      <c r="D3" s="2184"/>
      <c r="E3" s="2572" t="s">
        <v>980</v>
      </c>
      <c r="F3" s="2572"/>
      <c r="G3" s="2572"/>
      <c r="H3" s="2572" t="s">
        <v>981</v>
      </c>
      <c r="I3" s="2572"/>
      <c r="J3" s="2572"/>
      <c r="K3" s="2572" t="s">
        <v>982</v>
      </c>
      <c r="L3" s="2572"/>
      <c r="M3" s="2183"/>
      <c r="N3" s="2572" t="s">
        <v>983</v>
      </c>
      <c r="O3" s="2572"/>
      <c r="P3" s="2572"/>
      <c r="Q3" s="2572" t="s">
        <v>984</v>
      </c>
      <c r="R3" s="2572"/>
      <c r="S3" s="2183"/>
      <c r="T3" s="2183" t="s">
        <v>1004</v>
      </c>
      <c r="U3" s="2184"/>
      <c r="V3" s="2185"/>
      <c r="W3" s="2572" t="s">
        <v>986</v>
      </c>
      <c r="X3" s="2572"/>
      <c r="Y3" s="2183"/>
      <c r="Z3" s="2572" t="s">
        <v>987</v>
      </c>
      <c r="AA3" s="2572"/>
      <c r="AB3" s="2183"/>
      <c r="AC3" s="2572" t="s">
        <v>988</v>
      </c>
      <c r="AD3" s="2572"/>
      <c r="AE3" s="2183"/>
      <c r="AF3" s="2572" t="s">
        <v>989</v>
      </c>
      <c r="AG3" s="2572"/>
      <c r="AH3" s="2183"/>
    </row>
    <row r="4" spans="1:34" s="11" customFormat="1" ht="21" customHeight="1">
      <c r="A4" s="2204"/>
      <c r="B4" s="130" t="s">
        <v>279</v>
      </c>
      <c r="C4" s="130" t="s">
        <v>164</v>
      </c>
      <c r="D4" s="254" t="s">
        <v>165</v>
      </c>
      <c r="E4" s="130" t="s">
        <v>279</v>
      </c>
      <c r="F4" s="130" t="s">
        <v>164</v>
      </c>
      <c r="G4" s="246" t="s">
        <v>165</v>
      </c>
      <c r="H4" s="130" t="s">
        <v>279</v>
      </c>
      <c r="I4" s="130" t="s">
        <v>164</v>
      </c>
      <c r="J4" s="246" t="s">
        <v>165</v>
      </c>
      <c r="K4" s="130" t="s">
        <v>279</v>
      </c>
      <c r="L4" s="130" t="s">
        <v>164</v>
      </c>
      <c r="M4" s="241" t="s">
        <v>165</v>
      </c>
      <c r="N4" s="130" t="s">
        <v>279</v>
      </c>
      <c r="O4" s="130" t="s">
        <v>164</v>
      </c>
      <c r="P4" s="246" t="s">
        <v>165</v>
      </c>
      <c r="Q4" s="130" t="s">
        <v>279</v>
      </c>
      <c r="R4" s="130" t="s">
        <v>164</v>
      </c>
      <c r="S4" s="241" t="s">
        <v>165</v>
      </c>
      <c r="T4" s="246" t="s">
        <v>279</v>
      </c>
      <c r="U4" s="246" t="s">
        <v>164</v>
      </c>
      <c r="V4" s="246" t="s">
        <v>165</v>
      </c>
      <c r="W4" s="246" t="s">
        <v>279</v>
      </c>
      <c r="X4" s="246" t="s">
        <v>164</v>
      </c>
      <c r="Y4" s="246" t="s">
        <v>165</v>
      </c>
      <c r="Z4" s="246" t="s">
        <v>279</v>
      </c>
      <c r="AA4" s="246" t="s">
        <v>164</v>
      </c>
      <c r="AB4" s="246" t="s">
        <v>165</v>
      </c>
      <c r="AC4" s="246" t="s">
        <v>279</v>
      </c>
      <c r="AD4" s="246" t="s">
        <v>164</v>
      </c>
      <c r="AE4" s="246" t="s">
        <v>165</v>
      </c>
      <c r="AF4" s="246" t="s">
        <v>279</v>
      </c>
      <c r="AG4" s="246" t="s">
        <v>164</v>
      </c>
      <c r="AH4" s="246" t="s">
        <v>165</v>
      </c>
    </row>
    <row r="5" spans="1:34" s="11" customFormat="1" ht="21" customHeight="1">
      <c r="A5" s="247"/>
      <c r="B5" s="86" t="s">
        <v>167</v>
      </c>
      <c r="C5" s="86" t="s">
        <v>167</v>
      </c>
      <c r="D5" s="86" t="s">
        <v>167</v>
      </c>
      <c r="E5" s="86" t="s">
        <v>167</v>
      </c>
      <c r="F5" s="86" t="s">
        <v>167</v>
      </c>
      <c r="G5" s="86" t="s">
        <v>167</v>
      </c>
      <c r="H5" s="86" t="s">
        <v>167</v>
      </c>
      <c r="I5" s="86" t="s">
        <v>167</v>
      </c>
      <c r="J5" s="86" t="s">
        <v>167</v>
      </c>
      <c r="K5" s="86" t="s">
        <v>167</v>
      </c>
      <c r="L5" s="86" t="s">
        <v>167</v>
      </c>
      <c r="M5" s="39" t="s">
        <v>167</v>
      </c>
      <c r="N5" s="86" t="s">
        <v>167</v>
      </c>
      <c r="O5" s="86" t="s">
        <v>167</v>
      </c>
      <c r="P5" s="86" t="s">
        <v>167</v>
      </c>
      <c r="Q5" s="86" t="s">
        <v>167</v>
      </c>
      <c r="R5" s="86" t="s">
        <v>167</v>
      </c>
      <c r="S5" s="39" t="s">
        <v>167</v>
      </c>
      <c r="T5" s="39" t="s">
        <v>167</v>
      </c>
      <c r="U5" s="39" t="s">
        <v>167</v>
      </c>
      <c r="V5" s="39" t="s">
        <v>167</v>
      </c>
      <c r="W5" s="39" t="s">
        <v>167</v>
      </c>
      <c r="X5" s="39" t="s">
        <v>167</v>
      </c>
      <c r="Y5" s="39" t="s">
        <v>167</v>
      </c>
      <c r="Z5" s="39" t="s">
        <v>167</v>
      </c>
      <c r="AA5" s="39" t="s">
        <v>167</v>
      </c>
      <c r="AB5" s="39" t="s">
        <v>167</v>
      </c>
      <c r="AC5" s="39" t="s">
        <v>167</v>
      </c>
      <c r="AD5" s="39" t="s">
        <v>167</v>
      </c>
      <c r="AE5" s="39" t="s">
        <v>167</v>
      </c>
      <c r="AF5" s="39" t="s">
        <v>167</v>
      </c>
      <c r="AG5" s="39" t="s">
        <v>167</v>
      </c>
      <c r="AH5" s="39" t="s">
        <v>167</v>
      </c>
    </row>
    <row r="6" spans="1:34" s="11" customFormat="1" ht="21" customHeight="1">
      <c r="A6" s="391" t="s">
        <v>207</v>
      </c>
      <c r="B6" s="98">
        <v>34</v>
      </c>
      <c r="C6" s="98">
        <v>13</v>
      </c>
      <c r="D6" s="98">
        <v>21</v>
      </c>
      <c r="E6" s="98">
        <v>31</v>
      </c>
      <c r="F6" s="98">
        <v>8</v>
      </c>
      <c r="G6" s="98">
        <v>23</v>
      </c>
      <c r="H6" s="98">
        <v>25</v>
      </c>
      <c r="I6" s="98">
        <v>2</v>
      </c>
      <c r="J6" s="98">
        <v>23</v>
      </c>
      <c r="K6" s="98">
        <v>28</v>
      </c>
      <c r="L6" s="98">
        <v>8</v>
      </c>
      <c r="M6" s="33">
        <v>20</v>
      </c>
      <c r="N6" s="98">
        <v>17</v>
      </c>
      <c r="O6" s="98">
        <v>13</v>
      </c>
      <c r="P6" s="98">
        <v>4</v>
      </c>
      <c r="Q6" s="98">
        <v>34</v>
      </c>
      <c r="R6" s="98">
        <v>16</v>
      </c>
      <c r="S6" s="33">
        <v>18</v>
      </c>
      <c r="T6" s="98">
        <v>18</v>
      </c>
      <c r="U6" s="98">
        <v>11</v>
      </c>
      <c r="V6" s="98">
        <v>7</v>
      </c>
      <c r="W6" s="98">
        <v>18</v>
      </c>
      <c r="X6" s="98">
        <v>11</v>
      </c>
      <c r="Y6" s="98">
        <v>7</v>
      </c>
      <c r="Z6" s="647">
        <v>26</v>
      </c>
      <c r="AA6" s="647">
        <v>8</v>
      </c>
      <c r="AB6" s="657">
        <v>18</v>
      </c>
      <c r="AC6" s="647">
        <v>18</v>
      </c>
      <c r="AD6" s="647">
        <v>6</v>
      </c>
      <c r="AE6" s="647">
        <v>12</v>
      </c>
      <c r="AF6" s="647">
        <v>11</v>
      </c>
      <c r="AG6" s="647">
        <v>5</v>
      </c>
      <c r="AH6" s="657">
        <v>6</v>
      </c>
    </row>
    <row r="7" spans="1:34" s="11" customFormat="1" ht="21" customHeight="1">
      <c r="A7" s="391" t="s">
        <v>1005</v>
      </c>
      <c r="B7" s="98" t="s">
        <v>345</v>
      </c>
      <c r="C7" s="98" t="s">
        <v>345</v>
      </c>
      <c r="D7" s="98" t="s">
        <v>345</v>
      </c>
      <c r="E7" s="98" t="s">
        <v>345</v>
      </c>
      <c r="F7" s="98" t="s">
        <v>345</v>
      </c>
      <c r="G7" s="98" t="s">
        <v>345</v>
      </c>
      <c r="H7" s="98">
        <v>2</v>
      </c>
      <c r="I7" s="98">
        <v>2</v>
      </c>
      <c r="J7" s="98" t="s">
        <v>345</v>
      </c>
      <c r="K7" s="98">
        <v>3</v>
      </c>
      <c r="L7" s="98">
        <v>3</v>
      </c>
      <c r="M7" s="33" t="s">
        <v>345</v>
      </c>
      <c r="N7" s="98" t="s">
        <v>345</v>
      </c>
      <c r="O7" s="98" t="s">
        <v>345</v>
      </c>
      <c r="P7" s="98" t="s">
        <v>345</v>
      </c>
      <c r="Q7" s="98">
        <v>5</v>
      </c>
      <c r="R7" s="98">
        <v>5</v>
      </c>
      <c r="S7" s="33" t="s">
        <v>384</v>
      </c>
      <c r="T7" s="98" t="s">
        <v>384</v>
      </c>
      <c r="U7" s="98" t="s">
        <v>384</v>
      </c>
      <c r="V7" s="98" t="s">
        <v>384</v>
      </c>
      <c r="W7" s="98" t="s">
        <v>384</v>
      </c>
      <c r="X7" s="98" t="s">
        <v>384</v>
      </c>
      <c r="Y7" s="98" t="s">
        <v>384</v>
      </c>
      <c r="Z7" s="647" t="s">
        <v>345</v>
      </c>
      <c r="AA7" s="647" t="s">
        <v>345</v>
      </c>
      <c r="AB7" s="657" t="s">
        <v>345</v>
      </c>
      <c r="AC7" s="647" t="s">
        <v>345</v>
      </c>
      <c r="AD7" s="647" t="s">
        <v>345</v>
      </c>
      <c r="AE7" s="647" t="s">
        <v>345</v>
      </c>
      <c r="AF7" s="647" t="s">
        <v>345</v>
      </c>
      <c r="AG7" s="647" t="s">
        <v>345</v>
      </c>
      <c r="AH7" s="657" t="s">
        <v>345</v>
      </c>
    </row>
    <row r="8" spans="1:34" s="11" customFormat="1" ht="21" customHeight="1">
      <c r="A8" s="391" t="s">
        <v>1006</v>
      </c>
      <c r="B8" s="98">
        <v>5</v>
      </c>
      <c r="C8" s="98">
        <v>2</v>
      </c>
      <c r="D8" s="98">
        <v>3</v>
      </c>
      <c r="E8" s="98">
        <v>6</v>
      </c>
      <c r="F8" s="98">
        <v>2</v>
      </c>
      <c r="G8" s="98">
        <v>4</v>
      </c>
      <c r="H8" s="98">
        <v>2</v>
      </c>
      <c r="I8" s="98" t="s">
        <v>345</v>
      </c>
      <c r="J8" s="98">
        <v>2</v>
      </c>
      <c r="K8" s="98">
        <v>7</v>
      </c>
      <c r="L8" s="98">
        <v>1</v>
      </c>
      <c r="M8" s="33">
        <v>6</v>
      </c>
      <c r="N8" s="98">
        <v>3</v>
      </c>
      <c r="O8" s="98">
        <v>2</v>
      </c>
      <c r="P8" s="98">
        <v>1</v>
      </c>
      <c r="Q8" s="98">
        <v>8</v>
      </c>
      <c r="R8" s="98">
        <v>1</v>
      </c>
      <c r="S8" s="33">
        <v>7</v>
      </c>
      <c r="T8" s="98">
        <v>6</v>
      </c>
      <c r="U8" s="98">
        <v>2</v>
      </c>
      <c r="V8" s="98">
        <v>4</v>
      </c>
      <c r="W8" s="98">
        <v>6</v>
      </c>
      <c r="X8" s="98">
        <v>2</v>
      </c>
      <c r="Y8" s="98">
        <v>4</v>
      </c>
      <c r="Z8" s="647">
        <v>6</v>
      </c>
      <c r="AA8" s="647" t="s">
        <v>345</v>
      </c>
      <c r="AB8" s="657">
        <v>6</v>
      </c>
      <c r="AC8" s="647">
        <v>2</v>
      </c>
      <c r="AD8" s="647" t="s">
        <v>345</v>
      </c>
      <c r="AE8" s="647">
        <v>2</v>
      </c>
      <c r="AF8" s="647">
        <v>1</v>
      </c>
      <c r="AG8" s="647" t="s">
        <v>345</v>
      </c>
      <c r="AH8" s="657">
        <v>1</v>
      </c>
    </row>
    <row r="9" spans="1:34" s="11" customFormat="1" ht="21" customHeight="1">
      <c r="A9" s="391" t="s">
        <v>1007</v>
      </c>
      <c r="B9" s="98">
        <v>6</v>
      </c>
      <c r="C9" s="98" t="s">
        <v>345</v>
      </c>
      <c r="D9" s="98">
        <v>6</v>
      </c>
      <c r="E9" s="98">
        <v>3</v>
      </c>
      <c r="F9" s="98" t="s">
        <v>345</v>
      </c>
      <c r="G9" s="98">
        <v>3</v>
      </c>
      <c r="H9" s="98">
        <v>7</v>
      </c>
      <c r="I9" s="98">
        <v>1</v>
      </c>
      <c r="J9" s="98">
        <v>6</v>
      </c>
      <c r="K9" s="98">
        <v>5</v>
      </c>
      <c r="L9" s="98">
        <v>2</v>
      </c>
      <c r="M9" s="33">
        <v>3</v>
      </c>
      <c r="N9" s="98">
        <v>1</v>
      </c>
      <c r="O9" s="98" t="s">
        <v>345</v>
      </c>
      <c r="P9" s="98">
        <v>1</v>
      </c>
      <c r="Q9" s="98">
        <v>3</v>
      </c>
      <c r="R9" s="98" t="s">
        <v>384</v>
      </c>
      <c r="S9" s="33">
        <v>3</v>
      </c>
      <c r="T9" s="98" t="s">
        <v>384</v>
      </c>
      <c r="U9" s="98" t="s">
        <v>384</v>
      </c>
      <c r="V9" s="98" t="s">
        <v>384</v>
      </c>
      <c r="W9" s="98" t="s">
        <v>384</v>
      </c>
      <c r="X9" s="98" t="s">
        <v>384</v>
      </c>
      <c r="Y9" s="98" t="s">
        <v>384</v>
      </c>
      <c r="Z9" s="647" t="s">
        <v>345</v>
      </c>
      <c r="AA9" s="647" t="s">
        <v>345</v>
      </c>
      <c r="AB9" s="657" t="s">
        <v>345</v>
      </c>
      <c r="AC9" s="647" t="s">
        <v>345</v>
      </c>
      <c r="AD9" s="647" t="s">
        <v>345</v>
      </c>
      <c r="AE9" s="647" t="s">
        <v>345</v>
      </c>
      <c r="AF9" s="647" t="s">
        <v>345</v>
      </c>
      <c r="AG9" s="647" t="s">
        <v>345</v>
      </c>
      <c r="AH9" s="657" t="s">
        <v>345</v>
      </c>
    </row>
    <row r="10" spans="1:34" s="11" customFormat="1" ht="21" customHeight="1">
      <c r="A10" s="391" t="s">
        <v>1008</v>
      </c>
      <c r="B10" s="98" t="s">
        <v>345</v>
      </c>
      <c r="C10" s="98" t="s">
        <v>345</v>
      </c>
      <c r="D10" s="98" t="s">
        <v>345</v>
      </c>
      <c r="E10" s="98" t="s">
        <v>345</v>
      </c>
      <c r="F10" s="98" t="s">
        <v>345</v>
      </c>
      <c r="G10" s="98" t="s">
        <v>345</v>
      </c>
      <c r="H10" s="98" t="s">
        <v>345</v>
      </c>
      <c r="I10" s="98" t="s">
        <v>345</v>
      </c>
      <c r="J10" s="98" t="s">
        <v>345</v>
      </c>
      <c r="K10" s="98" t="s">
        <v>345</v>
      </c>
      <c r="L10" s="98" t="s">
        <v>345</v>
      </c>
      <c r="M10" s="33" t="s">
        <v>345</v>
      </c>
      <c r="N10" s="98" t="s">
        <v>345</v>
      </c>
      <c r="O10" s="98" t="s">
        <v>345</v>
      </c>
      <c r="P10" s="98" t="s">
        <v>345</v>
      </c>
      <c r="Q10" s="98" t="s">
        <v>384</v>
      </c>
      <c r="R10" s="98" t="s">
        <v>384</v>
      </c>
      <c r="S10" s="33" t="s">
        <v>384</v>
      </c>
      <c r="T10" s="98" t="s">
        <v>384</v>
      </c>
      <c r="U10" s="98" t="s">
        <v>384</v>
      </c>
      <c r="V10" s="98" t="s">
        <v>384</v>
      </c>
      <c r="W10" s="98" t="s">
        <v>384</v>
      </c>
      <c r="X10" s="98" t="s">
        <v>384</v>
      </c>
      <c r="Y10" s="98" t="s">
        <v>384</v>
      </c>
      <c r="Z10" s="647" t="s">
        <v>345</v>
      </c>
      <c r="AA10" s="647" t="s">
        <v>345</v>
      </c>
      <c r="AB10" s="657" t="s">
        <v>345</v>
      </c>
      <c r="AC10" s="647" t="s">
        <v>345</v>
      </c>
      <c r="AD10" s="647" t="s">
        <v>345</v>
      </c>
      <c r="AE10" s="647" t="s">
        <v>345</v>
      </c>
      <c r="AF10" s="647" t="s">
        <v>345</v>
      </c>
      <c r="AG10" s="647" t="s">
        <v>345</v>
      </c>
      <c r="AH10" s="657" t="s">
        <v>345</v>
      </c>
    </row>
    <row r="11" spans="1:34" s="11" customFormat="1" ht="21" customHeight="1">
      <c r="A11" s="391" t="s">
        <v>1009</v>
      </c>
      <c r="B11" s="98" t="s">
        <v>345</v>
      </c>
      <c r="C11" s="98" t="s">
        <v>345</v>
      </c>
      <c r="D11" s="98" t="s">
        <v>345</v>
      </c>
      <c r="E11" s="98" t="s">
        <v>345</v>
      </c>
      <c r="F11" s="98" t="s">
        <v>345</v>
      </c>
      <c r="G11" s="98" t="s">
        <v>345</v>
      </c>
      <c r="H11" s="98" t="s">
        <v>345</v>
      </c>
      <c r="I11" s="98" t="s">
        <v>345</v>
      </c>
      <c r="J11" s="98" t="s">
        <v>345</v>
      </c>
      <c r="K11" s="98">
        <v>2</v>
      </c>
      <c r="L11" s="98">
        <v>1</v>
      </c>
      <c r="M11" s="33">
        <v>1</v>
      </c>
      <c r="N11" s="98" t="s">
        <v>345</v>
      </c>
      <c r="O11" s="98" t="s">
        <v>345</v>
      </c>
      <c r="P11" s="98" t="s">
        <v>345</v>
      </c>
      <c r="Q11" s="98">
        <v>2</v>
      </c>
      <c r="R11" s="98">
        <v>1</v>
      </c>
      <c r="S11" s="33">
        <v>1</v>
      </c>
      <c r="T11" s="98">
        <v>2</v>
      </c>
      <c r="U11" s="98">
        <v>1</v>
      </c>
      <c r="V11" s="98">
        <v>1</v>
      </c>
      <c r="W11" s="98">
        <v>2</v>
      </c>
      <c r="X11" s="98">
        <v>1</v>
      </c>
      <c r="Y11" s="98">
        <v>1</v>
      </c>
      <c r="Z11" s="647">
        <v>1</v>
      </c>
      <c r="AA11" s="647" t="s">
        <v>345</v>
      </c>
      <c r="AB11" s="657">
        <v>1</v>
      </c>
      <c r="AC11" s="647" t="s">
        <v>345</v>
      </c>
      <c r="AD11" s="647" t="s">
        <v>345</v>
      </c>
      <c r="AE11" s="647" t="s">
        <v>345</v>
      </c>
      <c r="AF11" s="647" t="s">
        <v>345</v>
      </c>
      <c r="AG11" s="647" t="s">
        <v>345</v>
      </c>
      <c r="AH11" s="657" t="s">
        <v>345</v>
      </c>
    </row>
    <row r="12" spans="1:34" s="11" customFormat="1" ht="21" customHeight="1">
      <c r="A12" s="391" t="s">
        <v>1010</v>
      </c>
      <c r="B12" s="98">
        <v>11</v>
      </c>
      <c r="C12" s="98">
        <v>7</v>
      </c>
      <c r="D12" s="98">
        <v>4</v>
      </c>
      <c r="E12" s="98">
        <v>10</v>
      </c>
      <c r="F12" s="98">
        <v>4</v>
      </c>
      <c r="G12" s="98">
        <v>6</v>
      </c>
      <c r="H12" s="98">
        <v>4</v>
      </c>
      <c r="I12" s="98" t="s">
        <v>345</v>
      </c>
      <c r="J12" s="98">
        <v>4</v>
      </c>
      <c r="K12" s="98">
        <v>10</v>
      </c>
      <c r="L12" s="98">
        <v>3</v>
      </c>
      <c r="M12" s="33">
        <v>7</v>
      </c>
      <c r="N12" s="98">
        <v>8</v>
      </c>
      <c r="O12" s="98">
        <v>6</v>
      </c>
      <c r="P12" s="98">
        <v>2</v>
      </c>
      <c r="Q12" s="98">
        <v>11</v>
      </c>
      <c r="R12" s="98">
        <v>8</v>
      </c>
      <c r="S12" s="33">
        <v>3</v>
      </c>
      <c r="T12" s="98">
        <v>7</v>
      </c>
      <c r="U12" s="98">
        <v>6</v>
      </c>
      <c r="V12" s="98">
        <v>1</v>
      </c>
      <c r="W12" s="98">
        <v>7</v>
      </c>
      <c r="X12" s="98">
        <v>6</v>
      </c>
      <c r="Y12" s="98">
        <v>1</v>
      </c>
      <c r="Z12" s="647">
        <v>9</v>
      </c>
      <c r="AA12" s="647">
        <v>3</v>
      </c>
      <c r="AB12" s="657">
        <v>6</v>
      </c>
      <c r="AC12" s="647">
        <v>9</v>
      </c>
      <c r="AD12" s="647">
        <v>5</v>
      </c>
      <c r="AE12" s="647">
        <v>4</v>
      </c>
      <c r="AF12" s="647">
        <v>4</v>
      </c>
      <c r="AG12" s="647">
        <v>3</v>
      </c>
      <c r="AH12" s="657">
        <v>1</v>
      </c>
    </row>
    <row r="13" spans="1:34" s="11" customFormat="1" ht="21" customHeight="1">
      <c r="A13" s="391" t="s">
        <v>1011</v>
      </c>
      <c r="B13" s="98" t="s">
        <v>345</v>
      </c>
      <c r="C13" s="98" t="s">
        <v>345</v>
      </c>
      <c r="D13" s="98" t="s">
        <v>345</v>
      </c>
      <c r="E13" s="98" t="s">
        <v>345</v>
      </c>
      <c r="F13" s="98" t="s">
        <v>345</v>
      </c>
      <c r="G13" s="98" t="s">
        <v>345</v>
      </c>
      <c r="H13" s="98" t="s">
        <v>345</v>
      </c>
      <c r="I13" s="98" t="s">
        <v>345</v>
      </c>
      <c r="J13" s="98" t="s">
        <v>345</v>
      </c>
      <c r="K13" s="98" t="s">
        <v>345</v>
      </c>
      <c r="L13" s="98" t="s">
        <v>345</v>
      </c>
      <c r="M13" s="33" t="s">
        <v>345</v>
      </c>
      <c r="N13" s="98" t="s">
        <v>345</v>
      </c>
      <c r="O13" s="98" t="s">
        <v>345</v>
      </c>
      <c r="P13" s="98" t="s">
        <v>345</v>
      </c>
      <c r="Q13" s="98" t="s">
        <v>384</v>
      </c>
      <c r="R13" s="98" t="s">
        <v>384</v>
      </c>
      <c r="S13" s="33" t="s">
        <v>384</v>
      </c>
      <c r="T13" s="98" t="s">
        <v>384</v>
      </c>
      <c r="U13" s="98" t="s">
        <v>384</v>
      </c>
      <c r="V13" s="98" t="s">
        <v>384</v>
      </c>
      <c r="W13" s="98" t="s">
        <v>384</v>
      </c>
      <c r="X13" s="98" t="s">
        <v>384</v>
      </c>
      <c r="Y13" s="98" t="s">
        <v>384</v>
      </c>
      <c r="Z13" s="647" t="s">
        <v>345</v>
      </c>
      <c r="AA13" s="647" t="s">
        <v>345</v>
      </c>
      <c r="AB13" s="657" t="s">
        <v>345</v>
      </c>
      <c r="AC13" s="647" t="s">
        <v>345</v>
      </c>
      <c r="AD13" s="647" t="s">
        <v>345</v>
      </c>
      <c r="AE13" s="647" t="s">
        <v>345</v>
      </c>
      <c r="AF13" s="647" t="s">
        <v>345</v>
      </c>
      <c r="AG13" s="647" t="s">
        <v>345</v>
      </c>
      <c r="AH13" s="657" t="s">
        <v>345</v>
      </c>
    </row>
    <row r="14" spans="1:34" s="11" customFormat="1" ht="21" customHeight="1">
      <c r="A14" s="391" t="s">
        <v>1012</v>
      </c>
      <c r="B14" s="98" t="s">
        <v>345</v>
      </c>
      <c r="C14" s="98" t="s">
        <v>345</v>
      </c>
      <c r="D14" s="98" t="s">
        <v>345</v>
      </c>
      <c r="E14" s="98">
        <v>1</v>
      </c>
      <c r="F14" s="98" t="s">
        <v>345</v>
      </c>
      <c r="G14" s="98">
        <v>1</v>
      </c>
      <c r="H14" s="98" t="s">
        <v>345</v>
      </c>
      <c r="I14" s="98" t="s">
        <v>345</v>
      </c>
      <c r="J14" s="98" t="s">
        <v>345</v>
      </c>
      <c r="K14" s="98">
        <v>1</v>
      </c>
      <c r="L14" s="98">
        <v>1</v>
      </c>
      <c r="M14" s="33" t="s">
        <v>345</v>
      </c>
      <c r="N14" s="98">
        <v>2</v>
      </c>
      <c r="O14" s="98">
        <v>2</v>
      </c>
      <c r="P14" s="98" t="s">
        <v>345</v>
      </c>
      <c r="Q14" s="98">
        <v>2</v>
      </c>
      <c r="R14" s="98">
        <v>1</v>
      </c>
      <c r="S14" s="33">
        <v>1</v>
      </c>
      <c r="T14" s="98">
        <v>2</v>
      </c>
      <c r="U14" s="98">
        <v>1</v>
      </c>
      <c r="V14" s="98">
        <v>1</v>
      </c>
      <c r="W14" s="98">
        <v>2</v>
      </c>
      <c r="X14" s="98">
        <v>1</v>
      </c>
      <c r="Y14" s="98">
        <v>1</v>
      </c>
      <c r="Z14" s="647">
        <v>2</v>
      </c>
      <c r="AA14" s="647">
        <v>2</v>
      </c>
      <c r="AB14" s="657" t="s">
        <v>345</v>
      </c>
      <c r="AC14" s="647" t="s">
        <v>345</v>
      </c>
      <c r="AD14" s="647" t="s">
        <v>345</v>
      </c>
      <c r="AE14" s="647" t="s">
        <v>345</v>
      </c>
      <c r="AF14" s="647" t="s">
        <v>345</v>
      </c>
      <c r="AG14" s="647" t="s">
        <v>345</v>
      </c>
      <c r="AH14" s="657" t="s">
        <v>345</v>
      </c>
    </row>
    <row r="15" spans="1:34" s="11" customFormat="1" ht="21" customHeight="1">
      <c r="A15" s="391" t="s">
        <v>1013</v>
      </c>
      <c r="B15" s="98">
        <v>12</v>
      </c>
      <c r="C15" s="98">
        <v>4</v>
      </c>
      <c r="D15" s="98">
        <v>8</v>
      </c>
      <c r="E15" s="98">
        <v>11</v>
      </c>
      <c r="F15" s="98">
        <v>2</v>
      </c>
      <c r="G15" s="98">
        <v>9</v>
      </c>
      <c r="H15" s="98">
        <v>13</v>
      </c>
      <c r="I15" s="98">
        <v>1</v>
      </c>
      <c r="J15" s="98">
        <v>12</v>
      </c>
      <c r="K15" s="98">
        <v>6</v>
      </c>
      <c r="L15" s="98">
        <v>1</v>
      </c>
      <c r="M15" s="33">
        <v>5</v>
      </c>
      <c r="N15" s="98">
        <v>1</v>
      </c>
      <c r="O15" s="98">
        <v>1</v>
      </c>
      <c r="P15" s="98" t="s">
        <v>345</v>
      </c>
      <c r="Q15" s="98">
        <v>3</v>
      </c>
      <c r="R15" s="98" t="s">
        <v>384</v>
      </c>
      <c r="S15" s="33">
        <v>3</v>
      </c>
      <c r="T15" s="98">
        <v>1</v>
      </c>
      <c r="U15" s="98">
        <v>1</v>
      </c>
      <c r="V15" s="98" t="s">
        <v>384</v>
      </c>
      <c r="W15" s="98">
        <v>1</v>
      </c>
      <c r="X15" s="98">
        <v>1</v>
      </c>
      <c r="Y15" s="98" t="s">
        <v>384</v>
      </c>
      <c r="Z15" s="647">
        <v>7</v>
      </c>
      <c r="AA15" s="647">
        <v>3</v>
      </c>
      <c r="AB15" s="657">
        <v>4</v>
      </c>
      <c r="AC15" s="647">
        <v>4</v>
      </c>
      <c r="AD15" s="647" t="s">
        <v>345</v>
      </c>
      <c r="AE15" s="647">
        <v>4</v>
      </c>
      <c r="AF15" s="647">
        <v>6</v>
      </c>
      <c r="AG15" s="647">
        <v>2</v>
      </c>
      <c r="AH15" s="657">
        <v>4</v>
      </c>
    </row>
    <row r="16" spans="1:34" s="11" customFormat="1" ht="21" customHeight="1" thickBot="1">
      <c r="A16" s="397" t="s">
        <v>33</v>
      </c>
      <c r="B16" s="655" t="s">
        <v>345</v>
      </c>
      <c r="C16" s="655" t="s">
        <v>345</v>
      </c>
      <c r="D16" s="655" t="s">
        <v>345</v>
      </c>
      <c r="E16" s="655" t="s">
        <v>345</v>
      </c>
      <c r="F16" s="655" t="s">
        <v>345</v>
      </c>
      <c r="G16" s="655" t="s">
        <v>345</v>
      </c>
      <c r="H16" s="655">
        <v>7</v>
      </c>
      <c r="I16" s="655">
        <v>6</v>
      </c>
      <c r="J16" s="655">
        <v>1</v>
      </c>
      <c r="K16" s="655">
        <v>6</v>
      </c>
      <c r="L16" s="655">
        <v>5</v>
      </c>
      <c r="M16" s="656">
        <v>1</v>
      </c>
      <c r="N16" s="655">
        <v>2</v>
      </c>
      <c r="O16" s="655">
        <v>2</v>
      </c>
      <c r="P16" s="655" t="s">
        <v>345</v>
      </c>
      <c r="Q16" s="655" t="s">
        <v>384</v>
      </c>
      <c r="R16" s="655" t="s">
        <v>384</v>
      </c>
      <c r="S16" s="656" t="s">
        <v>384</v>
      </c>
      <c r="T16" s="655" t="s">
        <v>384</v>
      </c>
      <c r="U16" s="655" t="s">
        <v>384</v>
      </c>
      <c r="V16" s="655" t="s">
        <v>384</v>
      </c>
      <c r="W16" s="655" t="s">
        <v>384</v>
      </c>
      <c r="X16" s="655" t="s">
        <v>384</v>
      </c>
      <c r="Y16" s="655" t="s">
        <v>384</v>
      </c>
      <c r="Z16" s="658">
        <v>1</v>
      </c>
      <c r="AA16" s="658">
        <v>1</v>
      </c>
      <c r="AB16" s="659" t="s">
        <v>345</v>
      </c>
      <c r="AC16" s="658">
        <v>3</v>
      </c>
      <c r="AD16" s="658">
        <v>1</v>
      </c>
      <c r="AE16" s="658">
        <v>2</v>
      </c>
      <c r="AF16" s="658" t="s">
        <v>345</v>
      </c>
      <c r="AG16" s="658" t="s">
        <v>345</v>
      </c>
      <c r="AH16" s="659" t="s">
        <v>345</v>
      </c>
    </row>
    <row r="17" spans="1:3" s="11" customFormat="1" ht="21" customHeight="1">
      <c r="A17" s="2200" t="s">
        <v>1001</v>
      </c>
      <c r="B17" s="2200"/>
      <c r="C17" s="2200"/>
    </row>
    <row r="18" spans="1:3" s="11" customFormat="1" ht="21" customHeight="1"/>
    <row r="19" spans="1:3" ht="21" customHeight="1"/>
    <row r="20" spans="1:3" ht="21" customHeight="1"/>
    <row r="21" spans="1:3" ht="21" customHeight="1"/>
    <row r="22" spans="1:3" ht="21" customHeight="1"/>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sheetData>
  <mergeCells count="13">
    <mergeCell ref="A17:C17"/>
    <mergeCell ref="Q3:S3"/>
    <mergeCell ref="T3:V3"/>
    <mergeCell ref="W3:Y3"/>
    <mergeCell ref="Z3:AB3"/>
    <mergeCell ref="AC3:AE3"/>
    <mergeCell ref="AF3:AH3"/>
    <mergeCell ref="A3:A4"/>
    <mergeCell ref="B3:D3"/>
    <mergeCell ref="E3:G3"/>
    <mergeCell ref="H3:J3"/>
    <mergeCell ref="K3:M3"/>
    <mergeCell ref="N3:P3"/>
  </mergeCells>
  <phoneticPr fontId="4"/>
  <printOptions horizontalCentered="1"/>
  <pageMargins left="0.70866141732283472" right="0.70866141732283472" top="0.74803149606299213" bottom="0.74803149606299213" header="0.31496062992125984" footer="0.31496062992125984"/>
  <pageSetup paperSize="9" scale="96"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AFE0-3275-4420-B37B-71A4AF05A8D9}">
  <sheetPr codeName="Sheet46">
    <pageSetUpPr fitToPage="1"/>
  </sheetPr>
  <dimension ref="A1:N31"/>
  <sheetViews>
    <sheetView showGridLines="0" workbookViewId="0"/>
  </sheetViews>
  <sheetFormatPr defaultRowHeight="13.2"/>
  <cols>
    <col min="1" max="1" width="7.8984375" style="82" customWidth="1"/>
    <col min="2" max="14" width="5.8984375" style="82" customWidth="1"/>
    <col min="15" max="15" width="6.09765625" style="82" customWidth="1"/>
    <col min="16" max="18" width="4.59765625" style="82" customWidth="1"/>
    <col min="19" max="256" width="9" style="82"/>
    <col min="257" max="257" width="7.8984375" style="82" customWidth="1"/>
    <col min="258" max="270" width="5.8984375" style="82" customWidth="1"/>
    <col min="271" max="271" width="6.09765625" style="82" customWidth="1"/>
    <col min="272" max="274" width="4.59765625" style="82" customWidth="1"/>
    <col min="275" max="512" width="9" style="82"/>
    <col min="513" max="513" width="7.8984375" style="82" customWidth="1"/>
    <col min="514" max="526" width="5.8984375" style="82" customWidth="1"/>
    <col min="527" max="527" width="6.09765625" style="82" customWidth="1"/>
    <col min="528" max="530" width="4.59765625" style="82" customWidth="1"/>
    <col min="531" max="768" width="9" style="82"/>
    <col min="769" max="769" width="7.8984375" style="82" customWidth="1"/>
    <col min="770" max="782" width="5.8984375" style="82" customWidth="1"/>
    <col min="783" max="783" width="6.09765625" style="82" customWidth="1"/>
    <col min="784" max="786" width="4.59765625" style="82" customWidth="1"/>
    <col min="787" max="1024" width="9" style="82"/>
    <col min="1025" max="1025" width="7.8984375" style="82" customWidth="1"/>
    <col min="1026" max="1038" width="5.8984375" style="82" customWidth="1"/>
    <col min="1039" max="1039" width="6.09765625" style="82" customWidth="1"/>
    <col min="1040" max="1042" width="4.59765625" style="82" customWidth="1"/>
    <col min="1043" max="1280" width="9" style="82"/>
    <col min="1281" max="1281" width="7.8984375" style="82" customWidth="1"/>
    <col min="1282" max="1294" width="5.8984375" style="82" customWidth="1"/>
    <col min="1295" max="1295" width="6.09765625" style="82" customWidth="1"/>
    <col min="1296" max="1298" width="4.59765625" style="82" customWidth="1"/>
    <col min="1299" max="1536" width="9" style="82"/>
    <col min="1537" max="1537" width="7.8984375" style="82" customWidth="1"/>
    <col min="1538" max="1550" width="5.8984375" style="82" customWidth="1"/>
    <col min="1551" max="1551" width="6.09765625" style="82" customWidth="1"/>
    <col min="1552" max="1554" width="4.59765625" style="82" customWidth="1"/>
    <col min="1555" max="1792" width="9" style="82"/>
    <col min="1793" max="1793" width="7.8984375" style="82" customWidth="1"/>
    <col min="1794" max="1806" width="5.8984375" style="82" customWidth="1"/>
    <col min="1807" max="1807" width="6.09765625" style="82" customWidth="1"/>
    <col min="1808" max="1810" width="4.59765625" style="82" customWidth="1"/>
    <col min="1811" max="2048" width="9" style="82"/>
    <col min="2049" max="2049" width="7.8984375" style="82" customWidth="1"/>
    <col min="2050" max="2062" width="5.8984375" style="82" customWidth="1"/>
    <col min="2063" max="2063" width="6.09765625" style="82" customWidth="1"/>
    <col min="2064" max="2066" width="4.59765625" style="82" customWidth="1"/>
    <col min="2067" max="2304" width="9" style="82"/>
    <col min="2305" max="2305" width="7.8984375" style="82" customWidth="1"/>
    <col min="2306" max="2318" width="5.8984375" style="82" customWidth="1"/>
    <col min="2319" max="2319" width="6.09765625" style="82" customWidth="1"/>
    <col min="2320" max="2322" width="4.59765625" style="82" customWidth="1"/>
    <col min="2323" max="2560" width="9" style="82"/>
    <col min="2561" max="2561" width="7.8984375" style="82" customWidth="1"/>
    <col min="2562" max="2574" width="5.8984375" style="82" customWidth="1"/>
    <col min="2575" max="2575" width="6.09765625" style="82" customWidth="1"/>
    <col min="2576" max="2578" width="4.59765625" style="82" customWidth="1"/>
    <col min="2579" max="2816" width="9" style="82"/>
    <col min="2817" max="2817" width="7.8984375" style="82" customWidth="1"/>
    <col min="2818" max="2830" width="5.8984375" style="82" customWidth="1"/>
    <col min="2831" max="2831" width="6.09765625" style="82" customWidth="1"/>
    <col min="2832" max="2834" width="4.59765625" style="82" customWidth="1"/>
    <col min="2835" max="3072" width="9" style="82"/>
    <col min="3073" max="3073" width="7.8984375" style="82" customWidth="1"/>
    <col min="3074" max="3086" width="5.8984375" style="82" customWidth="1"/>
    <col min="3087" max="3087" width="6.09765625" style="82" customWidth="1"/>
    <col min="3088" max="3090" width="4.59765625" style="82" customWidth="1"/>
    <col min="3091" max="3328" width="9" style="82"/>
    <col min="3329" max="3329" width="7.8984375" style="82" customWidth="1"/>
    <col min="3330" max="3342" width="5.8984375" style="82" customWidth="1"/>
    <col min="3343" max="3343" width="6.09765625" style="82" customWidth="1"/>
    <col min="3344" max="3346" width="4.59765625" style="82" customWidth="1"/>
    <col min="3347" max="3584" width="9" style="82"/>
    <col min="3585" max="3585" width="7.8984375" style="82" customWidth="1"/>
    <col min="3586" max="3598" width="5.8984375" style="82" customWidth="1"/>
    <col min="3599" max="3599" width="6.09765625" style="82" customWidth="1"/>
    <col min="3600" max="3602" width="4.59765625" style="82" customWidth="1"/>
    <col min="3603" max="3840" width="9" style="82"/>
    <col min="3841" max="3841" width="7.8984375" style="82" customWidth="1"/>
    <col min="3842" max="3854" width="5.8984375" style="82" customWidth="1"/>
    <col min="3855" max="3855" width="6.09765625" style="82" customWidth="1"/>
    <col min="3856" max="3858" width="4.59765625" style="82" customWidth="1"/>
    <col min="3859" max="4096" width="9" style="82"/>
    <col min="4097" max="4097" width="7.8984375" style="82" customWidth="1"/>
    <col min="4098" max="4110" width="5.8984375" style="82" customWidth="1"/>
    <col min="4111" max="4111" width="6.09765625" style="82" customWidth="1"/>
    <col min="4112" max="4114" width="4.59765625" style="82" customWidth="1"/>
    <col min="4115" max="4352" width="9" style="82"/>
    <col min="4353" max="4353" width="7.8984375" style="82" customWidth="1"/>
    <col min="4354" max="4366" width="5.8984375" style="82" customWidth="1"/>
    <col min="4367" max="4367" width="6.09765625" style="82" customWidth="1"/>
    <col min="4368" max="4370" width="4.59765625" style="82" customWidth="1"/>
    <col min="4371" max="4608" width="9" style="82"/>
    <col min="4609" max="4609" width="7.8984375" style="82" customWidth="1"/>
    <col min="4610" max="4622" width="5.8984375" style="82" customWidth="1"/>
    <col min="4623" max="4623" width="6.09765625" style="82" customWidth="1"/>
    <col min="4624" max="4626" width="4.59765625" style="82" customWidth="1"/>
    <col min="4627" max="4864" width="9" style="82"/>
    <col min="4865" max="4865" width="7.8984375" style="82" customWidth="1"/>
    <col min="4866" max="4878" width="5.8984375" style="82" customWidth="1"/>
    <col min="4879" max="4879" width="6.09765625" style="82" customWidth="1"/>
    <col min="4880" max="4882" width="4.59765625" style="82" customWidth="1"/>
    <col min="4883" max="5120" width="9" style="82"/>
    <col min="5121" max="5121" width="7.8984375" style="82" customWidth="1"/>
    <col min="5122" max="5134" width="5.8984375" style="82" customWidth="1"/>
    <col min="5135" max="5135" width="6.09765625" style="82" customWidth="1"/>
    <col min="5136" max="5138" width="4.59765625" style="82" customWidth="1"/>
    <col min="5139" max="5376" width="9" style="82"/>
    <col min="5377" max="5377" width="7.8984375" style="82" customWidth="1"/>
    <col min="5378" max="5390" width="5.8984375" style="82" customWidth="1"/>
    <col min="5391" max="5391" width="6.09765625" style="82" customWidth="1"/>
    <col min="5392" max="5394" width="4.59765625" style="82" customWidth="1"/>
    <col min="5395" max="5632" width="9" style="82"/>
    <col min="5633" max="5633" width="7.8984375" style="82" customWidth="1"/>
    <col min="5634" max="5646" width="5.8984375" style="82" customWidth="1"/>
    <col min="5647" max="5647" width="6.09765625" style="82" customWidth="1"/>
    <col min="5648" max="5650" width="4.59765625" style="82" customWidth="1"/>
    <col min="5651" max="5888" width="9" style="82"/>
    <col min="5889" max="5889" width="7.8984375" style="82" customWidth="1"/>
    <col min="5890" max="5902" width="5.8984375" style="82" customWidth="1"/>
    <col min="5903" max="5903" width="6.09765625" style="82" customWidth="1"/>
    <col min="5904" max="5906" width="4.59765625" style="82" customWidth="1"/>
    <col min="5907" max="6144" width="9" style="82"/>
    <col min="6145" max="6145" width="7.8984375" style="82" customWidth="1"/>
    <col min="6146" max="6158" width="5.8984375" style="82" customWidth="1"/>
    <col min="6159" max="6159" width="6.09765625" style="82" customWidth="1"/>
    <col min="6160" max="6162" width="4.59765625" style="82" customWidth="1"/>
    <col min="6163" max="6400" width="9" style="82"/>
    <col min="6401" max="6401" width="7.8984375" style="82" customWidth="1"/>
    <col min="6402" max="6414" width="5.8984375" style="82" customWidth="1"/>
    <col min="6415" max="6415" width="6.09765625" style="82" customWidth="1"/>
    <col min="6416" max="6418" width="4.59765625" style="82" customWidth="1"/>
    <col min="6419" max="6656" width="9" style="82"/>
    <col min="6657" max="6657" width="7.8984375" style="82" customWidth="1"/>
    <col min="6658" max="6670" width="5.8984375" style="82" customWidth="1"/>
    <col min="6671" max="6671" width="6.09765625" style="82" customWidth="1"/>
    <col min="6672" max="6674" width="4.59765625" style="82" customWidth="1"/>
    <col min="6675" max="6912" width="9" style="82"/>
    <col min="6913" max="6913" width="7.8984375" style="82" customWidth="1"/>
    <col min="6914" max="6926" width="5.8984375" style="82" customWidth="1"/>
    <col min="6927" max="6927" width="6.09765625" style="82" customWidth="1"/>
    <col min="6928" max="6930" width="4.59765625" style="82" customWidth="1"/>
    <col min="6931" max="7168" width="9" style="82"/>
    <col min="7169" max="7169" width="7.8984375" style="82" customWidth="1"/>
    <col min="7170" max="7182" width="5.8984375" style="82" customWidth="1"/>
    <col min="7183" max="7183" width="6.09765625" style="82" customWidth="1"/>
    <col min="7184" max="7186" width="4.59765625" style="82" customWidth="1"/>
    <col min="7187" max="7424" width="9" style="82"/>
    <col min="7425" max="7425" width="7.8984375" style="82" customWidth="1"/>
    <col min="7426" max="7438" width="5.8984375" style="82" customWidth="1"/>
    <col min="7439" max="7439" width="6.09765625" style="82" customWidth="1"/>
    <col min="7440" max="7442" width="4.59765625" style="82" customWidth="1"/>
    <col min="7443" max="7680" width="9" style="82"/>
    <col min="7681" max="7681" width="7.8984375" style="82" customWidth="1"/>
    <col min="7682" max="7694" width="5.8984375" style="82" customWidth="1"/>
    <col min="7695" max="7695" width="6.09765625" style="82" customWidth="1"/>
    <col min="7696" max="7698" width="4.59765625" style="82" customWidth="1"/>
    <col min="7699" max="7936" width="9" style="82"/>
    <col min="7937" max="7937" width="7.8984375" style="82" customWidth="1"/>
    <col min="7938" max="7950" width="5.8984375" style="82" customWidth="1"/>
    <col min="7951" max="7951" width="6.09765625" style="82" customWidth="1"/>
    <col min="7952" max="7954" width="4.59765625" style="82" customWidth="1"/>
    <col min="7955" max="8192" width="9" style="82"/>
    <col min="8193" max="8193" width="7.8984375" style="82" customWidth="1"/>
    <col min="8194" max="8206" width="5.8984375" style="82" customWidth="1"/>
    <col min="8207" max="8207" width="6.09765625" style="82" customWidth="1"/>
    <col min="8208" max="8210" width="4.59765625" style="82" customWidth="1"/>
    <col min="8211" max="8448" width="9" style="82"/>
    <col min="8449" max="8449" width="7.8984375" style="82" customWidth="1"/>
    <col min="8450" max="8462" width="5.8984375" style="82" customWidth="1"/>
    <col min="8463" max="8463" width="6.09765625" style="82" customWidth="1"/>
    <col min="8464" max="8466" width="4.59765625" style="82" customWidth="1"/>
    <col min="8467" max="8704" width="9" style="82"/>
    <col min="8705" max="8705" width="7.8984375" style="82" customWidth="1"/>
    <col min="8706" max="8718" width="5.8984375" style="82" customWidth="1"/>
    <col min="8719" max="8719" width="6.09765625" style="82" customWidth="1"/>
    <col min="8720" max="8722" width="4.59765625" style="82" customWidth="1"/>
    <col min="8723" max="8960" width="9" style="82"/>
    <col min="8961" max="8961" width="7.8984375" style="82" customWidth="1"/>
    <col min="8962" max="8974" width="5.8984375" style="82" customWidth="1"/>
    <col min="8975" max="8975" width="6.09765625" style="82" customWidth="1"/>
    <col min="8976" max="8978" width="4.59765625" style="82" customWidth="1"/>
    <col min="8979" max="9216" width="9" style="82"/>
    <col min="9217" max="9217" width="7.8984375" style="82" customWidth="1"/>
    <col min="9218" max="9230" width="5.8984375" style="82" customWidth="1"/>
    <col min="9231" max="9231" width="6.09765625" style="82" customWidth="1"/>
    <col min="9232" max="9234" width="4.59765625" style="82" customWidth="1"/>
    <col min="9235" max="9472" width="9" style="82"/>
    <col min="9473" max="9473" width="7.8984375" style="82" customWidth="1"/>
    <col min="9474" max="9486" width="5.8984375" style="82" customWidth="1"/>
    <col min="9487" max="9487" width="6.09765625" style="82" customWidth="1"/>
    <col min="9488" max="9490" width="4.59765625" style="82" customWidth="1"/>
    <col min="9491" max="9728" width="9" style="82"/>
    <col min="9729" max="9729" width="7.8984375" style="82" customWidth="1"/>
    <col min="9730" max="9742" width="5.8984375" style="82" customWidth="1"/>
    <col min="9743" max="9743" width="6.09765625" style="82" customWidth="1"/>
    <col min="9744" max="9746" width="4.59765625" style="82" customWidth="1"/>
    <col min="9747" max="9984" width="9" style="82"/>
    <col min="9985" max="9985" width="7.8984375" style="82" customWidth="1"/>
    <col min="9986" max="9998" width="5.8984375" style="82" customWidth="1"/>
    <col min="9999" max="9999" width="6.09765625" style="82" customWidth="1"/>
    <col min="10000" max="10002" width="4.59765625" style="82" customWidth="1"/>
    <col min="10003" max="10240" width="9" style="82"/>
    <col min="10241" max="10241" width="7.8984375" style="82" customWidth="1"/>
    <col min="10242" max="10254" width="5.8984375" style="82" customWidth="1"/>
    <col min="10255" max="10255" width="6.09765625" style="82" customWidth="1"/>
    <col min="10256" max="10258" width="4.59765625" style="82" customWidth="1"/>
    <col min="10259" max="10496" width="9" style="82"/>
    <col min="10497" max="10497" width="7.8984375" style="82" customWidth="1"/>
    <col min="10498" max="10510" width="5.8984375" style="82" customWidth="1"/>
    <col min="10511" max="10511" width="6.09765625" style="82" customWidth="1"/>
    <col min="10512" max="10514" width="4.59765625" style="82" customWidth="1"/>
    <col min="10515" max="10752" width="9" style="82"/>
    <col min="10753" max="10753" width="7.8984375" style="82" customWidth="1"/>
    <col min="10754" max="10766" width="5.8984375" style="82" customWidth="1"/>
    <col min="10767" max="10767" width="6.09765625" style="82" customWidth="1"/>
    <col min="10768" max="10770" width="4.59765625" style="82" customWidth="1"/>
    <col min="10771" max="11008" width="9" style="82"/>
    <col min="11009" max="11009" width="7.8984375" style="82" customWidth="1"/>
    <col min="11010" max="11022" width="5.8984375" style="82" customWidth="1"/>
    <col min="11023" max="11023" width="6.09765625" style="82" customWidth="1"/>
    <col min="11024" max="11026" width="4.59765625" style="82" customWidth="1"/>
    <col min="11027" max="11264" width="9" style="82"/>
    <col min="11265" max="11265" width="7.8984375" style="82" customWidth="1"/>
    <col min="11266" max="11278" width="5.8984375" style="82" customWidth="1"/>
    <col min="11279" max="11279" width="6.09765625" style="82" customWidth="1"/>
    <col min="11280" max="11282" width="4.59765625" style="82" customWidth="1"/>
    <col min="11283" max="11520" width="9" style="82"/>
    <col min="11521" max="11521" width="7.8984375" style="82" customWidth="1"/>
    <col min="11522" max="11534" width="5.8984375" style="82" customWidth="1"/>
    <col min="11535" max="11535" width="6.09765625" style="82" customWidth="1"/>
    <col min="11536" max="11538" width="4.59765625" style="82" customWidth="1"/>
    <col min="11539" max="11776" width="9" style="82"/>
    <col min="11777" max="11777" width="7.8984375" style="82" customWidth="1"/>
    <col min="11778" max="11790" width="5.8984375" style="82" customWidth="1"/>
    <col min="11791" max="11791" width="6.09765625" style="82" customWidth="1"/>
    <col min="11792" max="11794" width="4.59765625" style="82" customWidth="1"/>
    <col min="11795" max="12032" width="9" style="82"/>
    <col min="12033" max="12033" width="7.8984375" style="82" customWidth="1"/>
    <col min="12034" max="12046" width="5.8984375" style="82" customWidth="1"/>
    <col min="12047" max="12047" width="6.09765625" style="82" customWidth="1"/>
    <col min="12048" max="12050" width="4.59765625" style="82" customWidth="1"/>
    <col min="12051" max="12288" width="9" style="82"/>
    <col min="12289" max="12289" width="7.8984375" style="82" customWidth="1"/>
    <col min="12290" max="12302" width="5.8984375" style="82" customWidth="1"/>
    <col min="12303" max="12303" width="6.09765625" style="82" customWidth="1"/>
    <col min="12304" max="12306" width="4.59765625" style="82" customWidth="1"/>
    <col min="12307" max="12544" width="9" style="82"/>
    <col min="12545" max="12545" width="7.8984375" style="82" customWidth="1"/>
    <col min="12546" max="12558" width="5.8984375" style="82" customWidth="1"/>
    <col min="12559" max="12559" width="6.09765625" style="82" customWidth="1"/>
    <col min="12560" max="12562" width="4.59765625" style="82" customWidth="1"/>
    <col min="12563" max="12800" width="9" style="82"/>
    <col min="12801" max="12801" width="7.8984375" style="82" customWidth="1"/>
    <col min="12802" max="12814" width="5.8984375" style="82" customWidth="1"/>
    <col min="12815" max="12815" width="6.09765625" style="82" customWidth="1"/>
    <col min="12816" max="12818" width="4.59765625" style="82" customWidth="1"/>
    <col min="12819" max="13056" width="9" style="82"/>
    <col min="13057" max="13057" width="7.8984375" style="82" customWidth="1"/>
    <col min="13058" max="13070" width="5.8984375" style="82" customWidth="1"/>
    <col min="13071" max="13071" width="6.09765625" style="82" customWidth="1"/>
    <col min="13072" max="13074" width="4.59765625" style="82" customWidth="1"/>
    <col min="13075" max="13312" width="9" style="82"/>
    <col min="13313" max="13313" width="7.8984375" style="82" customWidth="1"/>
    <col min="13314" max="13326" width="5.8984375" style="82" customWidth="1"/>
    <col min="13327" max="13327" width="6.09765625" style="82" customWidth="1"/>
    <col min="13328" max="13330" width="4.59765625" style="82" customWidth="1"/>
    <col min="13331" max="13568" width="9" style="82"/>
    <col min="13569" max="13569" width="7.8984375" style="82" customWidth="1"/>
    <col min="13570" max="13582" width="5.8984375" style="82" customWidth="1"/>
    <col min="13583" max="13583" width="6.09765625" style="82" customWidth="1"/>
    <col min="13584" max="13586" width="4.59765625" style="82" customWidth="1"/>
    <col min="13587" max="13824" width="9" style="82"/>
    <col min="13825" max="13825" width="7.8984375" style="82" customWidth="1"/>
    <col min="13826" max="13838" width="5.8984375" style="82" customWidth="1"/>
    <col min="13839" max="13839" width="6.09765625" style="82" customWidth="1"/>
    <col min="13840" max="13842" width="4.59765625" style="82" customWidth="1"/>
    <col min="13843" max="14080" width="9" style="82"/>
    <col min="14081" max="14081" width="7.8984375" style="82" customWidth="1"/>
    <col min="14082" max="14094" width="5.8984375" style="82" customWidth="1"/>
    <col min="14095" max="14095" width="6.09765625" style="82" customWidth="1"/>
    <col min="14096" max="14098" width="4.59765625" style="82" customWidth="1"/>
    <col min="14099" max="14336" width="9" style="82"/>
    <col min="14337" max="14337" width="7.8984375" style="82" customWidth="1"/>
    <col min="14338" max="14350" width="5.8984375" style="82" customWidth="1"/>
    <col min="14351" max="14351" width="6.09765625" style="82" customWidth="1"/>
    <col min="14352" max="14354" width="4.59765625" style="82" customWidth="1"/>
    <col min="14355" max="14592" width="9" style="82"/>
    <col min="14593" max="14593" width="7.8984375" style="82" customWidth="1"/>
    <col min="14594" max="14606" width="5.8984375" style="82" customWidth="1"/>
    <col min="14607" max="14607" width="6.09765625" style="82" customWidth="1"/>
    <col min="14608" max="14610" width="4.59765625" style="82" customWidth="1"/>
    <col min="14611" max="14848" width="9" style="82"/>
    <col min="14849" max="14849" width="7.8984375" style="82" customWidth="1"/>
    <col min="14850" max="14862" width="5.8984375" style="82" customWidth="1"/>
    <col min="14863" max="14863" width="6.09765625" style="82" customWidth="1"/>
    <col min="14864" max="14866" width="4.59765625" style="82" customWidth="1"/>
    <col min="14867" max="15104" width="9" style="82"/>
    <col min="15105" max="15105" width="7.8984375" style="82" customWidth="1"/>
    <col min="15106" max="15118" width="5.8984375" style="82" customWidth="1"/>
    <col min="15119" max="15119" width="6.09765625" style="82" customWidth="1"/>
    <col min="15120" max="15122" width="4.59765625" style="82" customWidth="1"/>
    <col min="15123" max="15360" width="9" style="82"/>
    <col min="15361" max="15361" width="7.8984375" style="82" customWidth="1"/>
    <col min="15362" max="15374" width="5.8984375" style="82" customWidth="1"/>
    <col min="15375" max="15375" width="6.09765625" style="82" customWidth="1"/>
    <col min="15376" max="15378" width="4.59765625" style="82" customWidth="1"/>
    <col min="15379" max="15616" width="9" style="82"/>
    <col min="15617" max="15617" width="7.8984375" style="82" customWidth="1"/>
    <col min="15618" max="15630" width="5.8984375" style="82" customWidth="1"/>
    <col min="15631" max="15631" width="6.09765625" style="82" customWidth="1"/>
    <col min="15632" max="15634" width="4.59765625" style="82" customWidth="1"/>
    <col min="15635" max="15872" width="9" style="82"/>
    <col min="15873" max="15873" width="7.8984375" style="82" customWidth="1"/>
    <col min="15874" max="15886" width="5.8984375" style="82" customWidth="1"/>
    <col min="15887" max="15887" width="6.09765625" style="82" customWidth="1"/>
    <col min="15888" max="15890" width="4.59765625" style="82" customWidth="1"/>
    <col min="15891" max="16128" width="9" style="82"/>
    <col min="16129" max="16129" width="7.8984375" style="82" customWidth="1"/>
    <col min="16130" max="16142" width="5.8984375" style="82" customWidth="1"/>
    <col min="16143" max="16143" width="6.09765625" style="82" customWidth="1"/>
    <col min="16144" max="16146" width="4.59765625" style="82" customWidth="1"/>
    <col min="16147" max="16384" width="9" style="82"/>
  </cols>
  <sheetData>
    <row r="1" spans="1:14" ht="30" customHeight="1" thickBot="1">
      <c r="A1" s="2139" t="s">
        <v>1014</v>
      </c>
      <c r="B1" s="2139"/>
      <c r="C1" s="2139"/>
      <c r="D1" s="2139"/>
      <c r="E1" s="2139"/>
      <c r="F1" s="2139"/>
      <c r="G1" s="2139"/>
      <c r="H1" s="2139"/>
      <c r="I1" s="2139"/>
      <c r="J1" s="2139"/>
      <c r="L1" s="2263" t="s">
        <v>836</v>
      </c>
      <c r="M1" s="2263"/>
      <c r="N1" s="2263"/>
    </row>
    <row r="2" spans="1:14" s="11" customFormat="1" ht="20.25" customHeight="1">
      <c r="A2" s="2180" t="s">
        <v>1015</v>
      </c>
      <c r="B2" s="2527" t="s">
        <v>1016</v>
      </c>
      <c r="C2" s="2527" t="s">
        <v>1017</v>
      </c>
      <c r="D2" s="2183" t="s">
        <v>1018</v>
      </c>
      <c r="E2" s="2185"/>
      <c r="F2" s="2183" t="s">
        <v>1019</v>
      </c>
      <c r="G2" s="2184"/>
      <c r="H2" s="2185"/>
      <c r="I2" s="2184" t="s">
        <v>1020</v>
      </c>
      <c r="J2" s="2184"/>
      <c r="K2" s="2184"/>
      <c r="L2" s="2184"/>
      <c r="M2" s="2184"/>
      <c r="N2" s="2184"/>
    </row>
    <row r="3" spans="1:14" s="11" customFormat="1" ht="46.5" customHeight="1">
      <c r="A3" s="2182"/>
      <c r="B3" s="2528"/>
      <c r="C3" s="2528"/>
      <c r="D3" s="660" t="s">
        <v>1021</v>
      </c>
      <c r="E3" s="661" t="s">
        <v>950</v>
      </c>
      <c r="F3" s="662" t="s">
        <v>279</v>
      </c>
      <c r="G3" s="660" t="s">
        <v>472</v>
      </c>
      <c r="H3" s="661" t="s">
        <v>1022</v>
      </c>
      <c r="I3" s="660" t="s">
        <v>279</v>
      </c>
      <c r="J3" s="660" t="s">
        <v>534</v>
      </c>
      <c r="K3" s="660" t="s">
        <v>1023</v>
      </c>
      <c r="L3" s="660" t="s">
        <v>1024</v>
      </c>
      <c r="M3" s="660" t="s">
        <v>541</v>
      </c>
      <c r="N3" s="663" t="s">
        <v>1025</v>
      </c>
    </row>
    <row r="4" spans="1:14" s="11" customFormat="1" ht="20.25" customHeight="1">
      <c r="A4" s="97"/>
      <c r="B4" s="86" t="s">
        <v>167</v>
      </c>
      <c r="C4" s="86" t="s">
        <v>167</v>
      </c>
      <c r="D4" s="86" t="s">
        <v>167</v>
      </c>
      <c r="E4" s="86" t="s">
        <v>1026</v>
      </c>
      <c r="F4" s="86" t="s">
        <v>167</v>
      </c>
      <c r="G4" s="86" t="s">
        <v>167</v>
      </c>
      <c r="H4" s="86" t="s">
        <v>167</v>
      </c>
      <c r="I4" s="86" t="s">
        <v>167</v>
      </c>
      <c r="J4" s="86" t="s">
        <v>167</v>
      </c>
      <c r="K4" s="86" t="s">
        <v>167</v>
      </c>
      <c r="L4" s="86" t="s">
        <v>167</v>
      </c>
      <c r="M4" s="86" t="s">
        <v>167</v>
      </c>
      <c r="N4" s="39" t="s">
        <v>167</v>
      </c>
    </row>
    <row r="5" spans="1:14" s="11" customFormat="1" ht="20.25" customHeight="1">
      <c r="A5" s="247" t="s">
        <v>312</v>
      </c>
      <c r="B5" s="98">
        <v>40</v>
      </c>
      <c r="C5" s="98">
        <v>3</v>
      </c>
      <c r="D5" s="98">
        <v>37</v>
      </c>
      <c r="E5" s="618">
        <v>92.5</v>
      </c>
      <c r="F5" s="98">
        <v>27</v>
      </c>
      <c r="G5" s="98">
        <v>23</v>
      </c>
      <c r="H5" s="98">
        <v>4</v>
      </c>
      <c r="I5" s="98">
        <v>10</v>
      </c>
      <c r="J5" s="98">
        <v>6</v>
      </c>
      <c r="K5" s="98" t="s">
        <v>345</v>
      </c>
      <c r="L5" s="98" t="s">
        <v>345</v>
      </c>
      <c r="M5" s="98">
        <v>3</v>
      </c>
      <c r="N5" s="33">
        <v>1</v>
      </c>
    </row>
    <row r="6" spans="1:14" s="11" customFormat="1" ht="20.25" customHeight="1">
      <c r="A6" s="247">
        <v>19</v>
      </c>
      <c r="B6" s="98">
        <v>27</v>
      </c>
      <c r="C6" s="98">
        <v>1</v>
      </c>
      <c r="D6" s="98">
        <v>26</v>
      </c>
      <c r="E6" s="618">
        <v>96.2</v>
      </c>
      <c r="F6" s="98">
        <v>12</v>
      </c>
      <c r="G6" s="98">
        <v>11</v>
      </c>
      <c r="H6" s="98">
        <v>1</v>
      </c>
      <c r="I6" s="98">
        <v>14</v>
      </c>
      <c r="J6" s="98">
        <v>8</v>
      </c>
      <c r="K6" s="98">
        <v>2</v>
      </c>
      <c r="L6" s="98" t="s">
        <v>345</v>
      </c>
      <c r="M6" s="98">
        <v>3</v>
      </c>
      <c r="N6" s="33">
        <v>1</v>
      </c>
    </row>
    <row r="7" spans="1:14" s="11" customFormat="1" ht="20.25" customHeight="1">
      <c r="A7" s="247">
        <v>20</v>
      </c>
      <c r="B7" s="98">
        <f>17+3</f>
        <v>20</v>
      </c>
      <c r="C7" s="98">
        <f>1+0</f>
        <v>1</v>
      </c>
      <c r="D7" s="98">
        <f>16+3</f>
        <v>19</v>
      </c>
      <c r="E7" s="618">
        <f>D7/B7*100</f>
        <v>95</v>
      </c>
      <c r="F7" s="98">
        <f>7+0</f>
        <v>7</v>
      </c>
      <c r="G7" s="98">
        <f>4+0</f>
        <v>4</v>
      </c>
      <c r="H7" s="98">
        <f>3+0</f>
        <v>3</v>
      </c>
      <c r="I7" s="98">
        <f>9+3</f>
        <v>12</v>
      </c>
      <c r="J7" s="98">
        <f>6+1</f>
        <v>7</v>
      </c>
      <c r="K7" s="98">
        <v>2</v>
      </c>
      <c r="L7" s="98" t="s">
        <v>345</v>
      </c>
      <c r="M7" s="98">
        <v>3</v>
      </c>
      <c r="N7" s="33" t="s">
        <v>345</v>
      </c>
    </row>
    <row r="8" spans="1:14" s="11" customFormat="1" ht="20.25" customHeight="1">
      <c r="A8" s="247">
        <v>21</v>
      </c>
      <c r="B8" s="98">
        <v>16</v>
      </c>
      <c r="C8" s="98">
        <v>2</v>
      </c>
      <c r="D8" s="98">
        <v>14</v>
      </c>
      <c r="E8" s="618">
        <v>87.5</v>
      </c>
      <c r="F8" s="98">
        <v>8</v>
      </c>
      <c r="G8" s="98">
        <v>8</v>
      </c>
      <c r="H8" s="98" t="s">
        <v>345</v>
      </c>
      <c r="I8" s="98">
        <v>6</v>
      </c>
      <c r="J8" s="98">
        <v>3</v>
      </c>
      <c r="K8" s="98">
        <v>1</v>
      </c>
      <c r="L8" s="98" t="s">
        <v>345</v>
      </c>
      <c r="M8" s="98">
        <v>1</v>
      </c>
      <c r="N8" s="33">
        <v>1</v>
      </c>
    </row>
    <row r="9" spans="1:14" s="11" customFormat="1" ht="20.25" customHeight="1">
      <c r="A9" s="247">
        <v>22</v>
      </c>
      <c r="B9" s="98">
        <v>22</v>
      </c>
      <c r="C9" s="98" t="s">
        <v>345</v>
      </c>
      <c r="D9" s="98">
        <v>22</v>
      </c>
      <c r="E9" s="618">
        <v>100</v>
      </c>
      <c r="F9" s="98">
        <v>10</v>
      </c>
      <c r="G9" s="98">
        <v>10</v>
      </c>
      <c r="H9" s="98" t="s">
        <v>345</v>
      </c>
      <c r="I9" s="98">
        <v>12</v>
      </c>
      <c r="J9" s="98">
        <v>4</v>
      </c>
      <c r="K9" s="98">
        <v>6</v>
      </c>
      <c r="L9" s="98" t="s">
        <v>345</v>
      </c>
      <c r="M9" s="98">
        <v>1</v>
      </c>
      <c r="N9" s="33">
        <v>1</v>
      </c>
    </row>
    <row r="10" spans="1:14" s="11" customFormat="1" ht="20.25" customHeight="1">
      <c r="A10" s="247">
        <v>23</v>
      </c>
      <c r="B10" s="98">
        <v>23</v>
      </c>
      <c r="C10" s="98">
        <v>1</v>
      </c>
      <c r="D10" s="98">
        <v>22</v>
      </c>
      <c r="E10" s="618">
        <v>95.652173913043484</v>
      </c>
      <c r="F10" s="98">
        <v>14</v>
      </c>
      <c r="G10" s="98">
        <v>11</v>
      </c>
      <c r="H10" s="98">
        <v>3</v>
      </c>
      <c r="I10" s="98">
        <v>8</v>
      </c>
      <c r="J10" s="98">
        <v>3</v>
      </c>
      <c r="K10" s="98">
        <v>2</v>
      </c>
      <c r="L10" s="98" t="s">
        <v>345</v>
      </c>
      <c r="M10" s="98">
        <v>2</v>
      </c>
      <c r="N10" s="33">
        <v>1</v>
      </c>
    </row>
    <row r="11" spans="1:14" s="11" customFormat="1" ht="20.25" customHeight="1">
      <c r="A11" s="247">
        <v>24</v>
      </c>
      <c r="B11" s="98">
        <v>24</v>
      </c>
      <c r="C11" s="98">
        <v>2</v>
      </c>
      <c r="D11" s="98">
        <v>22</v>
      </c>
      <c r="E11" s="618">
        <v>91.666666666666657</v>
      </c>
      <c r="F11" s="98">
        <v>13</v>
      </c>
      <c r="G11" s="98">
        <v>7</v>
      </c>
      <c r="H11" s="98">
        <v>6</v>
      </c>
      <c r="I11" s="98">
        <v>9</v>
      </c>
      <c r="J11" s="98">
        <v>5</v>
      </c>
      <c r="K11" s="98">
        <v>3</v>
      </c>
      <c r="L11" s="98" t="s">
        <v>345</v>
      </c>
      <c r="M11" s="98">
        <v>1</v>
      </c>
      <c r="N11" s="33" t="s">
        <v>345</v>
      </c>
    </row>
    <row r="12" spans="1:14" s="11" customFormat="1" ht="20.25" customHeight="1">
      <c r="A12" s="247">
        <v>25</v>
      </c>
      <c r="B12" s="98">
        <v>41</v>
      </c>
      <c r="C12" s="98">
        <v>7</v>
      </c>
      <c r="D12" s="98">
        <v>34</v>
      </c>
      <c r="E12" s="618">
        <v>82.926829268292678</v>
      </c>
      <c r="F12" s="98">
        <v>18</v>
      </c>
      <c r="G12" s="98">
        <v>15</v>
      </c>
      <c r="H12" s="98">
        <v>3</v>
      </c>
      <c r="I12" s="98">
        <v>16</v>
      </c>
      <c r="J12" s="98">
        <v>7</v>
      </c>
      <c r="K12" s="98">
        <v>2</v>
      </c>
      <c r="L12" s="98" t="s">
        <v>345</v>
      </c>
      <c r="M12" s="98">
        <v>4</v>
      </c>
      <c r="N12" s="33">
        <v>3</v>
      </c>
    </row>
    <row r="13" spans="1:14" s="11" customFormat="1" ht="20.25" customHeight="1">
      <c r="A13" s="247">
        <v>26</v>
      </c>
      <c r="B13" s="98">
        <v>37</v>
      </c>
      <c r="C13" s="98">
        <v>8</v>
      </c>
      <c r="D13" s="98">
        <v>29</v>
      </c>
      <c r="E13" s="618">
        <v>78.378378378378372</v>
      </c>
      <c r="F13" s="98">
        <v>12</v>
      </c>
      <c r="G13" s="98">
        <v>12</v>
      </c>
      <c r="H13" s="98" t="s">
        <v>345</v>
      </c>
      <c r="I13" s="98">
        <v>17</v>
      </c>
      <c r="J13" s="98">
        <v>8</v>
      </c>
      <c r="K13" s="98">
        <v>2</v>
      </c>
      <c r="L13" s="98" t="s">
        <v>345</v>
      </c>
      <c r="M13" s="98">
        <v>7</v>
      </c>
      <c r="N13" s="33" t="s">
        <v>345</v>
      </c>
    </row>
    <row r="14" spans="1:14" s="11" customFormat="1" ht="20.25" customHeight="1">
      <c r="A14" s="247">
        <v>27</v>
      </c>
      <c r="B14" s="98">
        <v>36</v>
      </c>
      <c r="C14" s="98">
        <v>3</v>
      </c>
      <c r="D14" s="98">
        <v>33</v>
      </c>
      <c r="E14" s="618">
        <v>91.666666666666657</v>
      </c>
      <c r="F14" s="98">
        <v>19</v>
      </c>
      <c r="G14" s="98">
        <v>18</v>
      </c>
      <c r="H14" s="98">
        <v>1</v>
      </c>
      <c r="I14" s="98">
        <v>14</v>
      </c>
      <c r="J14" s="98">
        <v>7</v>
      </c>
      <c r="K14" s="98">
        <v>4</v>
      </c>
      <c r="L14" s="98" t="s">
        <v>345</v>
      </c>
      <c r="M14" s="98">
        <v>3</v>
      </c>
      <c r="N14" s="33" t="s">
        <v>345</v>
      </c>
    </row>
    <row r="15" spans="1:14" s="11" customFormat="1" ht="20.25" customHeight="1">
      <c r="A15" s="247">
        <v>28</v>
      </c>
      <c r="B15" s="98">
        <v>40</v>
      </c>
      <c r="C15" s="98" t="s">
        <v>345</v>
      </c>
      <c r="D15" s="98">
        <v>40</v>
      </c>
      <c r="E15" s="618">
        <v>100</v>
      </c>
      <c r="F15" s="98">
        <v>23</v>
      </c>
      <c r="G15" s="98">
        <v>16</v>
      </c>
      <c r="H15" s="98">
        <v>7</v>
      </c>
      <c r="I15" s="98">
        <v>17</v>
      </c>
      <c r="J15" s="98">
        <v>6</v>
      </c>
      <c r="K15" s="98">
        <v>4</v>
      </c>
      <c r="L15" s="98" t="s">
        <v>345</v>
      </c>
      <c r="M15" s="98">
        <v>6</v>
      </c>
      <c r="N15" s="33">
        <v>1</v>
      </c>
    </row>
    <row r="16" spans="1:14" s="11" customFormat="1" ht="20.25" customHeight="1">
      <c r="A16" s="247">
        <v>29</v>
      </c>
      <c r="B16" s="98">
        <v>17</v>
      </c>
      <c r="C16" s="98" t="s">
        <v>345</v>
      </c>
      <c r="D16" s="98">
        <v>17</v>
      </c>
      <c r="E16" s="618">
        <v>100</v>
      </c>
      <c r="F16" s="98">
        <v>9</v>
      </c>
      <c r="G16" s="98">
        <v>6</v>
      </c>
      <c r="H16" s="98">
        <v>3</v>
      </c>
      <c r="I16" s="98">
        <v>8</v>
      </c>
      <c r="J16" s="98">
        <v>2</v>
      </c>
      <c r="K16" s="98">
        <v>2</v>
      </c>
      <c r="L16" s="98" t="s">
        <v>345</v>
      </c>
      <c r="M16" s="98">
        <v>4</v>
      </c>
      <c r="N16" s="33" t="s">
        <v>345</v>
      </c>
    </row>
    <row r="17" spans="1:14" s="11" customFormat="1" ht="20.25" customHeight="1">
      <c r="A17" s="247">
        <v>30</v>
      </c>
      <c r="B17" s="98">
        <v>34</v>
      </c>
      <c r="C17" s="98">
        <v>1</v>
      </c>
      <c r="D17" s="98">
        <v>33</v>
      </c>
      <c r="E17" s="618">
        <v>97.058823529411768</v>
      </c>
      <c r="F17" s="98">
        <v>7</v>
      </c>
      <c r="G17" s="98">
        <v>4</v>
      </c>
      <c r="H17" s="98">
        <v>3</v>
      </c>
      <c r="I17" s="98">
        <v>26</v>
      </c>
      <c r="J17" s="98">
        <v>1</v>
      </c>
      <c r="K17" s="98">
        <v>7</v>
      </c>
      <c r="L17" s="98" t="s">
        <v>345</v>
      </c>
      <c r="M17" s="98">
        <v>15</v>
      </c>
      <c r="N17" s="33">
        <v>3</v>
      </c>
    </row>
    <row r="18" spans="1:14" s="11" customFormat="1" ht="20.25" customHeight="1">
      <c r="A18" s="247" t="s">
        <v>79</v>
      </c>
      <c r="B18" s="98">
        <v>21</v>
      </c>
      <c r="C18" s="98">
        <v>3</v>
      </c>
      <c r="D18" s="98">
        <v>19</v>
      </c>
      <c r="E18" s="618">
        <f>+D18/B18*100</f>
        <v>90.476190476190482</v>
      </c>
      <c r="F18" s="98">
        <v>9</v>
      </c>
      <c r="G18" s="98">
        <v>7</v>
      </c>
      <c r="H18" s="98">
        <v>2</v>
      </c>
      <c r="I18" s="98">
        <v>10</v>
      </c>
      <c r="J18" s="98" t="s">
        <v>384</v>
      </c>
      <c r="K18" s="98">
        <v>1</v>
      </c>
      <c r="L18" s="98" t="s">
        <v>384</v>
      </c>
      <c r="M18" s="98">
        <v>8</v>
      </c>
      <c r="N18" s="33">
        <v>1</v>
      </c>
    </row>
    <row r="19" spans="1:14" s="11" customFormat="1" ht="20.25" customHeight="1">
      <c r="A19" s="247" t="s">
        <v>43</v>
      </c>
      <c r="B19" s="98">
        <v>15</v>
      </c>
      <c r="C19" s="98" t="s">
        <v>384</v>
      </c>
      <c r="D19" s="98">
        <v>15</v>
      </c>
      <c r="E19" s="618">
        <f>IFERROR(+D19/B19*100,"")</f>
        <v>100</v>
      </c>
      <c r="F19" s="98">
        <v>12</v>
      </c>
      <c r="G19" s="98">
        <v>9</v>
      </c>
      <c r="H19" s="98">
        <v>3</v>
      </c>
      <c r="I19" s="98">
        <v>5</v>
      </c>
      <c r="J19" s="98">
        <v>1</v>
      </c>
      <c r="K19" s="98">
        <v>1</v>
      </c>
      <c r="L19" s="98" t="s">
        <v>384</v>
      </c>
      <c r="M19" s="98" t="s">
        <v>384</v>
      </c>
      <c r="N19" s="33" t="s">
        <v>384</v>
      </c>
    </row>
    <row r="20" spans="1:14" s="11" customFormat="1" ht="20.25" customHeight="1">
      <c r="A20" s="247">
        <v>3</v>
      </c>
      <c r="B20" s="98">
        <v>26</v>
      </c>
      <c r="C20" s="98">
        <v>3</v>
      </c>
      <c r="D20" s="98">
        <v>23</v>
      </c>
      <c r="E20" s="618">
        <v>88.5</v>
      </c>
      <c r="F20" s="98">
        <v>10</v>
      </c>
      <c r="G20" s="98">
        <v>5</v>
      </c>
      <c r="H20" s="98">
        <v>5</v>
      </c>
      <c r="I20" s="98">
        <v>13</v>
      </c>
      <c r="J20" s="98">
        <v>1</v>
      </c>
      <c r="K20" s="98">
        <v>3</v>
      </c>
      <c r="L20" s="98" t="s">
        <v>345</v>
      </c>
      <c r="M20" s="98">
        <v>3</v>
      </c>
      <c r="N20" s="33">
        <v>6</v>
      </c>
    </row>
    <row r="21" spans="1:14" s="11" customFormat="1" ht="20.25" customHeight="1">
      <c r="A21" s="247">
        <v>4</v>
      </c>
      <c r="B21" s="98">
        <v>18</v>
      </c>
      <c r="C21" s="98">
        <v>1</v>
      </c>
      <c r="D21" s="98">
        <v>17</v>
      </c>
      <c r="E21" s="618">
        <v>94.5</v>
      </c>
      <c r="F21" s="98">
        <v>10</v>
      </c>
      <c r="G21" s="98">
        <v>8</v>
      </c>
      <c r="H21" s="98">
        <v>2</v>
      </c>
      <c r="I21" s="98">
        <v>7</v>
      </c>
      <c r="J21" s="98">
        <v>3</v>
      </c>
      <c r="K21" s="98">
        <v>2</v>
      </c>
      <c r="L21" s="98" t="s">
        <v>345</v>
      </c>
      <c r="M21" s="98">
        <v>1</v>
      </c>
      <c r="N21" s="33">
        <v>1</v>
      </c>
    </row>
    <row r="22" spans="1:14" s="11" customFormat="1" ht="20.25" customHeight="1">
      <c r="A22" s="247">
        <v>5</v>
      </c>
      <c r="B22" s="98">
        <v>11</v>
      </c>
      <c r="C22" s="98">
        <v>1</v>
      </c>
      <c r="D22" s="98">
        <v>10</v>
      </c>
      <c r="E22" s="618">
        <v>90.9</v>
      </c>
      <c r="F22" s="98">
        <v>7</v>
      </c>
      <c r="G22" s="98">
        <v>4</v>
      </c>
      <c r="H22" s="98">
        <v>3</v>
      </c>
      <c r="I22" s="98">
        <v>3</v>
      </c>
      <c r="J22" s="98">
        <v>2</v>
      </c>
      <c r="K22" s="98" t="s">
        <v>345</v>
      </c>
      <c r="L22" s="98" t="s">
        <v>345</v>
      </c>
      <c r="M22" s="98" t="s">
        <v>345</v>
      </c>
      <c r="N22" s="33">
        <v>1</v>
      </c>
    </row>
    <row r="23" spans="1:14" s="11" customFormat="1" ht="20.25" customHeight="1" thickBot="1">
      <c r="A23" s="220"/>
      <c r="B23" s="1122"/>
      <c r="C23" s="1122"/>
      <c r="D23" s="1122"/>
      <c r="E23" s="1123"/>
      <c r="F23" s="1122"/>
      <c r="G23" s="1122"/>
      <c r="H23" s="1122"/>
      <c r="I23" s="1122"/>
      <c r="J23" s="1122"/>
      <c r="K23" s="1122"/>
      <c r="L23" s="1122"/>
      <c r="M23" s="1122"/>
      <c r="N23" s="1124"/>
    </row>
    <row r="24" spans="1:14" s="11" customFormat="1" ht="20.25" customHeight="1">
      <c r="A24" s="258" t="s">
        <v>1027</v>
      </c>
      <c r="B24" s="258"/>
    </row>
    <row r="25" spans="1:14" s="11" customFormat="1" ht="20.25" customHeight="1"/>
    <row r="26" spans="1:14" ht="20.25" customHeight="1">
      <c r="A26" s="253"/>
      <c r="B26" s="36"/>
      <c r="C26" s="36"/>
      <c r="D26" s="36"/>
      <c r="E26" s="36"/>
      <c r="F26" s="36"/>
      <c r="G26" s="36"/>
      <c r="H26" s="36"/>
      <c r="I26" s="36"/>
      <c r="J26" s="36"/>
      <c r="K26" s="36"/>
      <c r="L26" s="36"/>
      <c r="M26" s="36"/>
      <c r="N26" s="36"/>
    </row>
    <row r="27" spans="1:14">
      <c r="A27" s="253"/>
      <c r="B27" s="36"/>
      <c r="C27" s="36"/>
      <c r="D27" s="36"/>
      <c r="E27" s="36"/>
      <c r="F27" s="36"/>
      <c r="G27" s="36"/>
      <c r="H27" s="36"/>
      <c r="I27" s="36"/>
      <c r="J27" s="36"/>
      <c r="K27" s="36"/>
      <c r="L27" s="36"/>
      <c r="M27" s="36"/>
      <c r="N27" s="36"/>
    </row>
    <row r="30" spans="1:14">
      <c r="A30" s="253"/>
      <c r="B30" s="36"/>
      <c r="C30" s="36"/>
      <c r="D30" s="36"/>
      <c r="E30" s="619"/>
      <c r="F30" s="36"/>
      <c r="G30" s="36"/>
      <c r="H30" s="36"/>
      <c r="I30" s="36"/>
      <c r="J30" s="36"/>
      <c r="K30" s="36"/>
      <c r="L30" s="36"/>
      <c r="M30" s="36"/>
      <c r="N30" s="36"/>
    </row>
    <row r="31" spans="1:14">
      <c r="A31" s="253"/>
      <c r="B31" s="36"/>
      <c r="C31" s="36"/>
      <c r="D31" s="36"/>
      <c r="E31" s="619"/>
      <c r="F31" s="36"/>
      <c r="G31" s="36"/>
      <c r="H31" s="36"/>
      <c r="I31" s="36"/>
      <c r="J31" s="36"/>
      <c r="K31" s="36"/>
      <c r="L31" s="36"/>
      <c r="M31" s="36"/>
      <c r="N31" s="36"/>
    </row>
  </sheetData>
  <mergeCells count="7">
    <mergeCell ref="L1:N1"/>
    <mergeCell ref="A2:A3"/>
    <mergeCell ref="B2:B3"/>
    <mergeCell ref="C2:C3"/>
    <mergeCell ref="D2:E2"/>
    <mergeCell ref="F2:H2"/>
    <mergeCell ref="I2:N2"/>
  </mergeCells>
  <phoneticPr fontId="4"/>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1307-212B-4053-8C01-8DBAFFA8097B}">
  <sheetPr codeName="Sheet47">
    <pageSetUpPr fitToPage="1"/>
  </sheetPr>
  <dimension ref="A1:O35"/>
  <sheetViews>
    <sheetView showGridLines="0" workbookViewId="0"/>
  </sheetViews>
  <sheetFormatPr defaultRowHeight="13.2"/>
  <cols>
    <col min="1" max="1" width="7.3984375" style="2" customWidth="1"/>
    <col min="2" max="15" width="5.59765625" style="2" customWidth="1"/>
    <col min="16" max="18" width="4.59765625" style="2" customWidth="1"/>
    <col min="19" max="256" width="9" style="2"/>
    <col min="257" max="257" width="7.3984375" style="2" customWidth="1"/>
    <col min="258" max="271" width="5.59765625" style="2" customWidth="1"/>
    <col min="272" max="274" width="4.59765625" style="2" customWidth="1"/>
    <col min="275" max="512" width="9" style="2"/>
    <col min="513" max="513" width="7.3984375" style="2" customWidth="1"/>
    <col min="514" max="527" width="5.59765625" style="2" customWidth="1"/>
    <col min="528" max="530" width="4.59765625" style="2" customWidth="1"/>
    <col min="531" max="768" width="9" style="2"/>
    <col min="769" max="769" width="7.3984375" style="2" customWidth="1"/>
    <col min="770" max="783" width="5.59765625" style="2" customWidth="1"/>
    <col min="784" max="786" width="4.59765625" style="2" customWidth="1"/>
    <col min="787" max="1024" width="9" style="2"/>
    <col min="1025" max="1025" width="7.3984375" style="2" customWidth="1"/>
    <col min="1026" max="1039" width="5.59765625" style="2" customWidth="1"/>
    <col min="1040" max="1042" width="4.59765625" style="2" customWidth="1"/>
    <col min="1043" max="1280" width="9" style="2"/>
    <col min="1281" max="1281" width="7.3984375" style="2" customWidth="1"/>
    <col min="1282" max="1295" width="5.59765625" style="2" customWidth="1"/>
    <col min="1296" max="1298" width="4.59765625" style="2" customWidth="1"/>
    <col min="1299" max="1536" width="9" style="2"/>
    <col min="1537" max="1537" width="7.3984375" style="2" customWidth="1"/>
    <col min="1538" max="1551" width="5.59765625" style="2" customWidth="1"/>
    <col min="1552" max="1554" width="4.59765625" style="2" customWidth="1"/>
    <col min="1555" max="1792" width="9" style="2"/>
    <col min="1793" max="1793" width="7.3984375" style="2" customWidth="1"/>
    <col min="1794" max="1807" width="5.59765625" style="2" customWidth="1"/>
    <col min="1808" max="1810" width="4.59765625" style="2" customWidth="1"/>
    <col min="1811" max="2048" width="9" style="2"/>
    <col min="2049" max="2049" width="7.3984375" style="2" customWidth="1"/>
    <col min="2050" max="2063" width="5.59765625" style="2" customWidth="1"/>
    <col min="2064" max="2066" width="4.59765625" style="2" customWidth="1"/>
    <col min="2067" max="2304" width="9" style="2"/>
    <col min="2305" max="2305" width="7.3984375" style="2" customWidth="1"/>
    <col min="2306" max="2319" width="5.59765625" style="2" customWidth="1"/>
    <col min="2320" max="2322" width="4.59765625" style="2" customWidth="1"/>
    <col min="2323" max="2560" width="9" style="2"/>
    <col min="2561" max="2561" width="7.3984375" style="2" customWidth="1"/>
    <col min="2562" max="2575" width="5.59765625" style="2" customWidth="1"/>
    <col min="2576" max="2578" width="4.59765625" style="2" customWidth="1"/>
    <col min="2579" max="2816" width="9" style="2"/>
    <col min="2817" max="2817" width="7.3984375" style="2" customWidth="1"/>
    <col min="2818" max="2831" width="5.59765625" style="2" customWidth="1"/>
    <col min="2832" max="2834" width="4.59765625" style="2" customWidth="1"/>
    <col min="2835" max="3072" width="9" style="2"/>
    <col min="3073" max="3073" width="7.3984375" style="2" customWidth="1"/>
    <col min="3074" max="3087" width="5.59765625" style="2" customWidth="1"/>
    <col min="3088" max="3090" width="4.59765625" style="2" customWidth="1"/>
    <col min="3091" max="3328" width="9" style="2"/>
    <col min="3329" max="3329" width="7.3984375" style="2" customWidth="1"/>
    <col min="3330" max="3343" width="5.59765625" style="2" customWidth="1"/>
    <col min="3344" max="3346" width="4.59765625" style="2" customWidth="1"/>
    <col min="3347" max="3584" width="9" style="2"/>
    <col min="3585" max="3585" width="7.3984375" style="2" customWidth="1"/>
    <col min="3586" max="3599" width="5.59765625" style="2" customWidth="1"/>
    <col min="3600" max="3602" width="4.59765625" style="2" customWidth="1"/>
    <col min="3603" max="3840" width="9" style="2"/>
    <col min="3841" max="3841" width="7.3984375" style="2" customWidth="1"/>
    <col min="3842" max="3855" width="5.59765625" style="2" customWidth="1"/>
    <col min="3856" max="3858" width="4.59765625" style="2" customWidth="1"/>
    <col min="3859" max="4096" width="9" style="2"/>
    <col min="4097" max="4097" width="7.3984375" style="2" customWidth="1"/>
    <col min="4098" max="4111" width="5.59765625" style="2" customWidth="1"/>
    <col min="4112" max="4114" width="4.59765625" style="2" customWidth="1"/>
    <col min="4115" max="4352" width="9" style="2"/>
    <col min="4353" max="4353" width="7.3984375" style="2" customWidth="1"/>
    <col min="4354" max="4367" width="5.59765625" style="2" customWidth="1"/>
    <col min="4368" max="4370" width="4.59765625" style="2" customWidth="1"/>
    <col min="4371" max="4608" width="9" style="2"/>
    <col min="4609" max="4609" width="7.3984375" style="2" customWidth="1"/>
    <col min="4610" max="4623" width="5.59765625" style="2" customWidth="1"/>
    <col min="4624" max="4626" width="4.59765625" style="2" customWidth="1"/>
    <col min="4627" max="4864" width="9" style="2"/>
    <col min="4865" max="4865" width="7.3984375" style="2" customWidth="1"/>
    <col min="4866" max="4879" width="5.59765625" style="2" customWidth="1"/>
    <col min="4880" max="4882" width="4.59765625" style="2" customWidth="1"/>
    <col min="4883" max="5120" width="9" style="2"/>
    <col min="5121" max="5121" width="7.3984375" style="2" customWidth="1"/>
    <col min="5122" max="5135" width="5.59765625" style="2" customWidth="1"/>
    <col min="5136" max="5138" width="4.59765625" style="2" customWidth="1"/>
    <col min="5139" max="5376" width="9" style="2"/>
    <col min="5377" max="5377" width="7.3984375" style="2" customWidth="1"/>
    <col min="5378" max="5391" width="5.59765625" style="2" customWidth="1"/>
    <col min="5392" max="5394" width="4.59765625" style="2" customWidth="1"/>
    <col min="5395" max="5632" width="9" style="2"/>
    <col min="5633" max="5633" width="7.3984375" style="2" customWidth="1"/>
    <col min="5634" max="5647" width="5.59765625" style="2" customWidth="1"/>
    <col min="5648" max="5650" width="4.59765625" style="2" customWidth="1"/>
    <col min="5651" max="5888" width="9" style="2"/>
    <col min="5889" max="5889" width="7.3984375" style="2" customWidth="1"/>
    <col min="5890" max="5903" width="5.59765625" style="2" customWidth="1"/>
    <col min="5904" max="5906" width="4.59765625" style="2" customWidth="1"/>
    <col min="5907" max="6144" width="9" style="2"/>
    <col min="6145" max="6145" width="7.3984375" style="2" customWidth="1"/>
    <col min="6146" max="6159" width="5.59765625" style="2" customWidth="1"/>
    <col min="6160" max="6162" width="4.59765625" style="2" customWidth="1"/>
    <col min="6163" max="6400" width="9" style="2"/>
    <col min="6401" max="6401" width="7.3984375" style="2" customWidth="1"/>
    <col min="6402" max="6415" width="5.59765625" style="2" customWidth="1"/>
    <col min="6416" max="6418" width="4.59765625" style="2" customWidth="1"/>
    <col min="6419" max="6656" width="9" style="2"/>
    <col min="6657" max="6657" width="7.3984375" style="2" customWidth="1"/>
    <col min="6658" max="6671" width="5.59765625" style="2" customWidth="1"/>
    <col min="6672" max="6674" width="4.59765625" style="2" customWidth="1"/>
    <col min="6675" max="6912" width="9" style="2"/>
    <col min="6913" max="6913" width="7.3984375" style="2" customWidth="1"/>
    <col min="6914" max="6927" width="5.59765625" style="2" customWidth="1"/>
    <col min="6928" max="6930" width="4.59765625" style="2" customWidth="1"/>
    <col min="6931" max="7168" width="9" style="2"/>
    <col min="7169" max="7169" width="7.3984375" style="2" customWidth="1"/>
    <col min="7170" max="7183" width="5.59765625" style="2" customWidth="1"/>
    <col min="7184" max="7186" width="4.59765625" style="2" customWidth="1"/>
    <col min="7187" max="7424" width="9" style="2"/>
    <col min="7425" max="7425" width="7.3984375" style="2" customWidth="1"/>
    <col min="7426" max="7439" width="5.59765625" style="2" customWidth="1"/>
    <col min="7440" max="7442" width="4.59765625" style="2" customWidth="1"/>
    <col min="7443" max="7680" width="9" style="2"/>
    <col min="7681" max="7681" width="7.3984375" style="2" customWidth="1"/>
    <col min="7682" max="7695" width="5.59765625" style="2" customWidth="1"/>
    <col min="7696" max="7698" width="4.59765625" style="2" customWidth="1"/>
    <col min="7699" max="7936" width="9" style="2"/>
    <col min="7937" max="7937" width="7.3984375" style="2" customWidth="1"/>
    <col min="7938" max="7951" width="5.59765625" style="2" customWidth="1"/>
    <col min="7952" max="7954" width="4.59765625" style="2" customWidth="1"/>
    <col min="7955" max="8192" width="9" style="2"/>
    <col min="8193" max="8193" width="7.3984375" style="2" customWidth="1"/>
    <col min="8194" max="8207" width="5.59765625" style="2" customWidth="1"/>
    <col min="8208" max="8210" width="4.59765625" style="2" customWidth="1"/>
    <col min="8211" max="8448" width="9" style="2"/>
    <col min="8449" max="8449" width="7.3984375" style="2" customWidth="1"/>
    <col min="8450" max="8463" width="5.59765625" style="2" customWidth="1"/>
    <col min="8464" max="8466" width="4.59765625" style="2" customWidth="1"/>
    <col min="8467" max="8704" width="9" style="2"/>
    <col min="8705" max="8705" width="7.3984375" style="2" customWidth="1"/>
    <col min="8706" max="8719" width="5.59765625" style="2" customWidth="1"/>
    <col min="8720" max="8722" width="4.59765625" style="2" customWidth="1"/>
    <col min="8723" max="8960" width="9" style="2"/>
    <col min="8961" max="8961" width="7.3984375" style="2" customWidth="1"/>
    <col min="8962" max="8975" width="5.59765625" style="2" customWidth="1"/>
    <col min="8976" max="8978" width="4.59765625" style="2" customWidth="1"/>
    <col min="8979" max="9216" width="9" style="2"/>
    <col min="9217" max="9217" width="7.3984375" style="2" customWidth="1"/>
    <col min="9218" max="9231" width="5.59765625" style="2" customWidth="1"/>
    <col min="9232" max="9234" width="4.59765625" style="2" customWidth="1"/>
    <col min="9235" max="9472" width="9" style="2"/>
    <col min="9473" max="9473" width="7.3984375" style="2" customWidth="1"/>
    <col min="9474" max="9487" width="5.59765625" style="2" customWidth="1"/>
    <col min="9488" max="9490" width="4.59765625" style="2" customWidth="1"/>
    <col min="9491" max="9728" width="9" style="2"/>
    <col min="9729" max="9729" width="7.3984375" style="2" customWidth="1"/>
    <col min="9730" max="9743" width="5.59765625" style="2" customWidth="1"/>
    <col min="9744" max="9746" width="4.59765625" style="2" customWidth="1"/>
    <col min="9747" max="9984" width="9" style="2"/>
    <col min="9985" max="9985" width="7.3984375" style="2" customWidth="1"/>
    <col min="9986" max="9999" width="5.59765625" style="2" customWidth="1"/>
    <col min="10000" max="10002" width="4.59765625" style="2" customWidth="1"/>
    <col min="10003" max="10240" width="9" style="2"/>
    <col min="10241" max="10241" width="7.3984375" style="2" customWidth="1"/>
    <col min="10242" max="10255" width="5.59765625" style="2" customWidth="1"/>
    <col min="10256" max="10258" width="4.59765625" style="2" customWidth="1"/>
    <col min="10259" max="10496" width="9" style="2"/>
    <col min="10497" max="10497" width="7.3984375" style="2" customWidth="1"/>
    <col min="10498" max="10511" width="5.59765625" style="2" customWidth="1"/>
    <col min="10512" max="10514" width="4.59765625" style="2" customWidth="1"/>
    <col min="10515" max="10752" width="9" style="2"/>
    <col min="10753" max="10753" width="7.3984375" style="2" customWidth="1"/>
    <col min="10754" max="10767" width="5.59765625" style="2" customWidth="1"/>
    <col min="10768" max="10770" width="4.59765625" style="2" customWidth="1"/>
    <col min="10771" max="11008" width="9" style="2"/>
    <col min="11009" max="11009" width="7.3984375" style="2" customWidth="1"/>
    <col min="11010" max="11023" width="5.59765625" style="2" customWidth="1"/>
    <col min="11024" max="11026" width="4.59765625" style="2" customWidth="1"/>
    <col min="11027" max="11264" width="9" style="2"/>
    <col min="11265" max="11265" width="7.3984375" style="2" customWidth="1"/>
    <col min="11266" max="11279" width="5.59765625" style="2" customWidth="1"/>
    <col min="11280" max="11282" width="4.59765625" style="2" customWidth="1"/>
    <col min="11283" max="11520" width="9" style="2"/>
    <col min="11521" max="11521" width="7.3984375" style="2" customWidth="1"/>
    <col min="11522" max="11535" width="5.59765625" style="2" customWidth="1"/>
    <col min="11536" max="11538" width="4.59765625" style="2" customWidth="1"/>
    <col min="11539" max="11776" width="9" style="2"/>
    <col min="11777" max="11777" width="7.3984375" style="2" customWidth="1"/>
    <col min="11778" max="11791" width="5.59765625" style="2" customWidth="1"/>
    <col min="11792" max="11794" width="4.59765625" style="2" customWidth="1"/>
    <col min="11795" max="12032" width="9" style="2"/>
    <col min="12033" max="12033" width="7.3984375" style="2" customWidth="1"/>
    <col min="12034" max="12047" width="5.59765625" style="2" customWidth="1"/>
    <col min="12048" max="12050" width="4.59765625" style="2" customWidth="1"/>
    <col min="12051" max="12288" width="9" style="2"/>
    <col min="12289" max="12289" width="7.3984375" style="2" customWidth="1"/>
    <col min="12290" max="12303" width="5.59765625" style="2" customWidth="1"/>
    <col min="12304" max="12306" width="4.59765625" style="2" customWidth="1"/>
    <col min="12307" max="12544" width="9" style="2"/>
    <col min="12545" max="12545" width="7.3984375" style="2" customWidth="1"/>
    <col min="12546" max="12559" width="5.59765625" style="2" customWidth="1"/>
    <col min="12560" max="12562" width="4.59765625" style="2" customWidth="1"/>
    <col min="12563" max="12800" width="9" style="2"/>
    <col min="12801" max="12801" width="7.3984375" style="2" customWidth="1"/>
    <col min="12802" max="12815" width="5.59765625" style="2" customWidth="1"/>
    <col min="12816" max="12818" width="4.59765625" style="2" customWidth="1"/>
    <col min="12819" max="13056" width="9" style="2"/>
    <col min="13057" max="13057" width="7.3984375" style="2" customWidth="1"/>
    <col min="13058" max="13071" width="5.59765625" style="2" customWidth="1"/>
    <col min="13072" max="13074" width="4.59765625" style="2" customWidth="1"/>
    <col min="13075" max="13312" width="9" style="2"/>
    <col min="13313" max="13313" width="7.3984375" style="2" customWidth="1"/>
    <col min="13314" max="13327" width="5.59765625" style="2" customWidth="1"/>
    <col min="13328" max="13330" width="4.59765625" style="2" customWidth="1"/>
    <col min="13331" max="13568" width="9" style="2"/>
    <col min="13569" max="13569" width="7.3984375" style="2" customWidth="1"/>
    <col min="13570" max="13583" width="5.59765625" style="2" customWidth="1"/>
    <col min="13584" max="13586" width="4.59765625" style="2" customWidth="1"/>
    <col min="13587" max="13824" width="9" style="2"/>
    <col min="13825" max="13825" width="7.3984375" style="2" customWidth="1"/>
    <col min="13826" max="13839" width="5.59765625" style="2" customWidth="1"/>
    <col min="13840" max="13842" width="4.59765625" style="2" customWidth="1"/>
    <col min="13843" max="14080" width="9" style="2"/>
    <col min="14081" max="14081" width="7.3984375" style="2" customWidth="1"/>
    <col min="14082" max="14095" width="5.59765625" style="2" customWidth="1"/>
    <col min="14096" max="14098" width="4.59765625" style="2" customWidth="1"/>
    <col min="14099" max="14336" width="9" style="2"/>
    <col min="14337" max="14337" width="7.3984375" style="2" customWidth="1"/>
    <col min="14338" max="14351" width="5.59765625" style="2" customWidth="1"/>
    <col min="14352" max="14354" width="4.59765625" style="2" customWidth="1"/>
    <col min="14355" max="14592" width="9" style="2"/>
    <col min="14593" max="14593" width="7.3984375" style="2" customWidth="1"/>
    <col min="14594" max="14607" width="5.59765625" style="2" customWidth="1"/>
    <col min="14608" max="14610" width="4.59765625" style="2" customWidth="1"/>
    <col min="14611" max="14848" width="9" style="2"/>
    <col min="14849" max="14849" width="7.3984375" style="2" customWidth="1"/>
    <col min="14850" max="14863" width="5.59765625" style="2" customWidth="1"/>
    <col min="14864" max="14866" width="4.59765625" style="2" customWidth="1"/>
    <col min="14867" max="15104" width="9" style="2"/>
    <col min="15105" max="15105" width="7.3984375" style="2" customWidth="1"/>
    <col min="15106" max="15119" width="5.59765625" style="2" customWidth="1"/>
    <col min="15120" max="15122" width="4.59765625" style="2" customWidth="1"/>
    <col min="15123" max="15360" width="9" style="2"/>
    <col min="15361" max="15361" width="7.3984375" style="2" customWidth="1"/>
    <col min="15362" max="15375" width="5.59765625" style="2" customWidth="1"/>
    <col min="15376" max="15378" width="4.59765625" style="2" customWidth="1"/>
    <col min="15379" max="15616" width="9" style="2"/>
    <col min="15617" max="15617" width="7.3984375" style="2" customWidth="1"/>
    <col min="15618" max="15631" width="5.59765625" style="2" customWidth="1"/>
    <col min="15632" max="15634" width="4.59765625" style="2" customWidth="1"/>
    <col min="15635" max="15872" width="9" style="2"/>
    <col min="15873" max="15873" width="7.3984375" style="2" customWidth="1"/>
    <col min="15874" max="15887" width="5.59765625" style="2" customWidth="1"/>
    <col min="15888" max="15890" width="4.59765625" style="2" customWidth="1"/>
    <col min="15891" max="16128" width="9" style="2"/>
    <col min="16129" max="16129" width="7.3984375" style="2" customWidth="1"/>
    <col min="16130" max="16143" width="5.59765625" style="2" customWidth="1"/>
    <col min="16144" max="16146" width="4.59765625" style="2" customWidth="1"/>
    <col min="16147" max="16384" width="9" style="2"/>
  </cols>
  <sheetData>
    <row r="1" spans="1:15" ht="30" customHeight="1">
      <c r="A1" s="2139" t="s">
        <v>1028</v>
      </c>
      <c r="B1" s="259"/>
      <c r="C1" s="259"/>
      <c r="D1" s="259"/>
      <c r="E1" s="259"/>
      <c r="F1" s="259"/>
      <c r="G1" s="259"/>
      <c r="H1" s="259"/>
      <c r="I1" s="259"/>
      <c r="J1" s="259"/>
    </row>
    <row r="2" spans="1:15" ht="16.8" thickBot="1">
      <c r="A2" s="259"/>
      <c r="B2" s="259"/>
      <c r="C2" s="259"/>
      <c r="D2" s="259"/>
      <c r="E2" s="259"/>
      <c r="F2" s="259"/>
      <c r="G2" s="259"/>
      <c r="H2" s="259"/>
      <c r="I2" s="259"/>
      <c r="J2" s="259"/>
      <c r="N2" s="664"/>
      <c r="O2" s="343" t="s">
        <v>836</v>
      </c>
    </row>
    <row r="3" spans="1:15" s="11" customFormat="1" ht="19.5" customHeight="1">
      <c r="A3" s="2180" t="s">
        <v>1015</v>
      </c>
      <c r="B3" s="2183" t="s">
        <v>1029</v>
      </c>
      <c r="C3" s="2184"/>
      <c r="D3" s="2185"/>
      <c r="E3" s="2183" t="s">
        <v>1030</v>
      </c>
      <c r="F3" s="2185"/>
      <c r="G3" s="2184" t="s">
        <v>1031</v>
      </c>
      <c r="H3" s="2184"/>
      <c r="I3" s="2184"/>
      <c r="J3" s="2184"/>
      <c r="K3" s="2184"/>
      <c r="L3" s="2184"/>
      <c r="M3" s="2184"/>
      <c r="N3" s="2184"/>
      <c r="O3" s="2184"/>
    </row>
    <row r="4" spans="1:15" s="11" customFormat="1" ht="19.5" customHeight="1">
      <c r="A4" s="2204"/>
      <c r="B4" s="130" t="s">
        <v>279</v>
      </c>
      <c r="C4" s="130" t="s">
        <v>164</v>
      </c>
      <c r="D4" s="244" t="s">
        <v>165</v>
      </c>
      <c r="E4" s="130" t="s">
        <v>1032</v>
      </c>
      <c r="F4" s="244" t="s">
        <v>263</v>
      </c>
      <c r="G4" s="130" t="s">
        <v>279</v>
      </c>
      <c r="H4" s="130" t="s">
        <v>263</v>
      </c>
      <c r="I4" s="130" t="s">
        <v>1033</v>
      </c>
      <c r="J4" s="130" t="s">
        <v>1034</v>
      </c>
      <c r="K4" s="130" t="s">
        <v>1035</v>
      </c>
      <c r="L4" s="130" t="s">
        <v>1036</v>
      </c>
      <c r="M4" s="130" t="s">
        <v>1037</v>
      </c>
      <c r="N4" s="130" t="s">
        <v>1038</v>
      </c>
      <c r="O4" s="254" t="s">
        <v>1025</v>
      </c>
    </row>
    <row r="5" spans="1:15" s="11" customFormat="1" ht="19.5" customHeight="1">
      <c r="A5" s="97"/>
      <c r="B5" s="86" t="s">
        <v>167</v>
      </c>
      <c r="C5" s="86" t="s">
        <v>167</v>
      </c>
      <c r="D5" s="86" t="s">
        <v>167</v>
      </c>
      <c r="E5" s="86" t="s">
        <v>167</v>
      </c>
      <c r="F5" s="86" t="s">
        <v>1026</v>
      </c>
      <c r="G5" s="86" t="s">
        <v>167</v>
      </c>
      <c r="H5" s="86" t="s">
        <v>1026</v>
      </c>
      <c r="I5" s="86" t="s">
        <v>167</v>
      </c>
      <c r="J5" s="86" t="s">
        <v>167</v>
      </c>
      <c r="K5" s="86" t="s">
        <v>167</v>
      </c>
      <c r="L5" s="86" t="s">
        <v>167</v>
      </c>
      <c r="M5" s="86" t="s">
        <v>167</v>
      </c>
      <c r="N5" s="86" t="s">
        <v>167</v>
      </c>
      <c r="O5" s="39" t="s">
        <v>167</v>
      </c>
    </row>
    <row r="6" spans="1:15" s="11" customFormat="1" ht="19.5" customHeight="1">
      <c r="A6" s="247" t="s">
        <v>310</v>
      </c>
      <c r="B6" s="98">
        <v>115</v>
      </c>
      <c r="C6" s="98">
        <v>55</v>
      </c>
      <c r="D6" s="98">
        <v>60</v>
      </c>
      <c r="E6" s="98">
        <v>35</v>
      </c>
      <c r="F6" s="618">
        <v>30.4</v>
      </c>
      <c r="G6" s="98">
        <v>80</v>
      </c>
      <c r="H6" s="618">
        <v>69.599999999999994</v>
      </c>
      <c r="I6" s="98">
        <v>33</v>
      </c>
      <c r="J6" s="98">
        <v>5</v>
      </c>
      <c r="K6" s="98">
        <v>3</v>
      </c>
      <c r="L6" s="98">
        <v>8</v>
      </c>
      <c r="M6" s="98">
        <v>4</v>
      </c>
      <c r="N6" s="98">
        <v>5</v>
      </c>
      <c r="O6" s="33">
        <v>22</v>
      </c>
    </row>
    <row r="7" spans="1:15" s="11" customFormat="1" ht="19.5" customHeight="1">
      <c r="A7" s="247">
        <v>17</v>
      </c>
      <c r="B7" s="98">
        <v>121</v>
      </c>
      <c r="C7" s="98">
        <v>67</v>
      </c>
      <c r="D7" s="98">
        <v>54</v>
      </c>
      <c r="E7" s="98">
        <v>34</v>
      </c>
      <c r="F7" s="618">
        <f>E7/B7*100</f>
        <v>28.099173553719009</v>
      </c>
      <c r="G7" s="98">
        <f>SUM(I7:O7)</f>
        <v>87</v>
      </c>
      <c r="H7" s="618">
        <f>G7/B7*100</f>
        <v>71.900826446281002</v>
      </c>
      <c r="I7" s="98">
        <v>31</v>
      </c>
      <c r="J7" s="98">
        <v>5</v>
      </c>
      <c r="K7" s="98">
        <v>8</v>
      </c>
      <c r="L7" s="98">
        <v>6</v>
      </c>
      <c r="M7" s="98">
        <v>4</v>
      </c>
      <c r="N7" s="98">
        <v>2</v>
      </c>
      <c r="O7" s="33">
        <v>31</v>
      </c>
    </row>
    <row r="8" spans="1:15" s="11" customFormat="1" ht="19.5" customHeight="1">
      <c r="A8" s="247">
        <v>18</v>
      </c>
      <c r="B8" s="98">
        <v>134</v>
      </c>
      <c r="C8" s="98">
        <v>71</v>
      </c>
      <c r="D8" s="98">
        <v>63</v>
      </c>
      <c r="E8" s="98">
        <v>37</v>
      </c>
      <c r="F8" s="618">
        <v>27.611940298507463</v>
      </c>
      <c r="G8" s="98">
        <v>97</v>
      </c>
      <c r="H8" s="618">
        <v>72.388059701492537</v>
      </c>
      <c r="I8" s="98">
        <v>26</v>
      </c>
      <c r="J8" s="98">
        <v>14</v>
      </c>
      <c r="K8" s="98">
        <v>9</v>
      </c>
      <c r="L8" s="98">
        <v>13</v>
      </c>
      <c r="M8" s="98">
        <v>6</v>
      </c>
      <c r="N8" s="98">
        <v>3</v>
      </c>
      <c r="O8" s="33">
        <v>26</v>
      </c>
    </row>
    <row r="9" spans="1:15" s="11" customFormat="1" ht="19.5" customHeight="1">
      <c r="A9" s="247">
        <v>19</v>
      </c>
      <c r="B9" s="98">
        <v>152</v>
      </c>
      <c r="C9" s="98">
        <v>71</v>
      </c>
      <c r="D9" s="98">
        <v>81</v>
      </c>
      <c r="E9" s="98">
        <v>49</v>
      </c>
      <c r="F9" s="618">
        <v>32.200000000000003</v>
      </c>
      <c r="G9" s="98">
        <v>103</v>
      </c>
      <c r="H9" s="618">
        <v>67.8</v>
      </c>
      <c r="I9" s="98">
        <v>28</v>
      </c>
      <c r="J9" s="98">
        <v>16</v>
      </c>
      <c r="K9" s="98">
        <v>7</v>
      </c>
      <c r="L9" s="98">
        <v>14</v>
      </c>
      <c r="M9" s="98">
        <v>6</v>
      </c>
      <c r="N9" s="98">
        <v>3</v>
      </c>
      <c r="O9" s="33">
        <v>29</v>
      </c>
    </row>
    <row r="10" spans="1:15" s="11" customFormat="1" ht="19.5" customHeight="1">
      <c r="A10" s="247">
        <v>20</v>
      </c>
      <c r="B10" s="98">
        <f>33+103</f>
        <v>136</v>
      </c>
      <c r="C10" s="98">
        <f>10+49</f>
        <v>59</v>
      </c>
      <c r="D10" s="98">
        <f>23+54</f>
        <v>77</v>
      </c>
      <c r="E10" s="98">
        <f>16+21</f>
        <v>37</v>
      </c>
      <c r="F10" s="618">
        <f>E10/B10*100</f>
        <v>27.205882352941174</v>
      </c>
      <c r="G10" s="98">
        <f>17+82</f>
        <v>99</v>
      </c>
      <c r="H10" s="618">
        <f>G10/B10*100</f>
        <v>72.794117647058826</v>
      </c>
      <c r="I10" s="98">
        <f>3+29</f>
        <v>32</v>
      </c>
      <c r="J10" s="98">
        <f>18</f>
        <v>18</v>
      </c>
      <c r="K10" s="98">
        <f>1+1</f>
        <v>2</v>
      </c>
      <c r="L10" s="98">
        <f>2+4</f>
        <v>6</v>
      </c>
      <c r="M10" s="98">
        <f>3+3</f>
        <v>6</v>
      </c>
      <c r="N10" s="98">
        <f>4+7</f>
        <v>11</v>
      </c>
      <c r="O10" s="33">
        <f>3+30</f>
        <v>33</v>
      </c>
    </row>
    <row r="11" spans="1:15" s="11" customFormat="1" ht="19.5" customHeight="1">
      <c r="A11" s="247">
        <v>21</v>
      </c>
      <c r="B11" s="98">
        <v>132</v>
      </c>
      <c r="C11" s="98">
        <v>63</v>
      </c>
      <c r="D11" s="98">
        <v>69</v>
      </c>
      <c r="E11" s="98">
        <v>32</v>
      </c>
      <c r="F11" s="618">
        <v>24.242424242424242</v>
      </c>
      <c r="G11" s="98">
        <v>100</v>
      </c>
      <c r="H11" s="618">
        <v>75.757575757575751</v>
      </c>
      <c r="I11" s="98">
        <v>43</v>
      </c>
      <c r="J11" s="98">
        <v>3</v>
      </c>
      <c r="K11" s="98">
        <v>3</v>
      </c>
      <c r="L11" s="98">
        <v>9</v>
      </c>
      <c r="M11" s="98">
        <v>4</v>
      </c>
      <c r="N11" s="98">
        <v>4</v>
      </c>
      <c r="O11" s="33">
        <v>34</v>
      </c>
    </row>
    <row r="12" spans="1:15" s="11" customFormat="1" ht="19.5" customHeight="1">
      <c r="A12" s="247">
        <v>22</v>
      </c>
      <c r="B12" s="98">
        <v>164</v>
      </c>
      <c r="C12" s="98">
        <v>99</v>
      </c>
      <c r="D12" s="98">
        <v>65</v>
      </c>
      <c r="E12" s="98">
        <v>48</v>
      </c>
      <c r="F12" s="618">
        <v>29.268292682926827</v>
      </c>
      <c r="G12" s="98">
        <v>106</v>
      </c>
      <c r="H12" s="618">
        <v>64.634146341463421</v>
      </c>
      <c r="I12" s="98">
        <v>37</v>
      </c>
      <c r="J12" s="98">
        <v>4</v>
      </c>
      <c r="K12" s="98">
        <v>8</v>
      </c>
      <c r="L12" s="98">
        <v>16</v>
      </c>
      <c r="M12" s="98">
        <v>3</v>
      </c>
      <c r="N12" s="98">
        <v>3</v>
      </c>
      <c r="O12" s="33">
        <v>35</v>
      </c>
    </row>
    <row r="13" spans="1:15" s="11" customFormat="1" ht="19.5" customHeight="1">
      <c r="A13" s="247">
        <v>23</v>
      </c>
      <c r="B13" s="98">
        <v>140</v>
      </c>
      <c r="C13" s="98">
        <v>63</v>
      </c>
      <c r="D13" s="98">
        <v>77</v>
      </c>
      <c r="E13" s="98">
        <v>52</v>
      </c>
      <c r="F13" s="618">
        <v>37.142857142857146</v>
      </c>
      <c r="G13" s="98">
        <v>88</v>
      </c>
      <c r="H13" s="618">
        <v>62.857142857142854</v>
      </c>
      <c r="I13" s="98">
        <v>37</v>
      </c>
      <c r="J13" s="98">
        <v>5</v>
      </c>
      <c r="K13" s="98">
        <v>5</v>
      </c>
      <c r="L13" s="98">
        <v>8</v>
      </c>
      <c r="M13" s="98">
        <v>5</v>
      </c>
      <c r="N13" s="98">
        <v>2</v>
      </c>
      <c r="O13" s="33">
        <v>26</v>
      </c>
    </row>
    <row r="14" spans="1:15" s="11" customFormat="1" ht="19.5" customHeight="1">
      <c r="A14" s="247">
        <v>24</v>
      </c>
      <c r="B14" s="98">
        <v>149</v>
      </c>
      <c r="C14" s="98">
        <v>62</v>
      </c>
      <c r="D14" s="98">
        <v>87</v>
      </c>
      <c r="E14" s="98">
        <v>61</v>
      </c>
      <c r="F14" s="618">
        <v>40.939597315436245</v>
      </c>
      <c r="G14" s="98">
        <v>88</v>
      </c>
      <c r="H14" s="618">
        <v>59.060402684563762</v>
      </c>
      <c r="I14" s="98">
        <v>22</v>
      </c>
      <c r="J14" s="98">
        <v>10</v>
      </c>
      <c r="K14" s="98">
        <v>5</v>
      </c>
      <c r="L14" s="98">
        <v>13</v>
      </c>
      <c r="M14" s="98">
        <v>2</v>
      </c>
      <c r="N14" s="98">
        <v>2</v>
      </c>
      <c r="O14" s="33">
        <v>34</v>
      </c>
    </row>
    <row r="15" spans="1:15" s="11" customFormat="1" ht="19.5" customHeight="1">
      <c r="A15" s="247">
        <v>25</v>
      </c>
      <c r="B15" s="98">
        <v>131</v>
      </c>
      <c r="C15" s="98">
        <v>73</v>
      </c>
      <c r="D15" s="98">
        <v>58</v>
      </c>
      <c r="E15" s="98">
        <v>59</v>
      </c>
      <c r="F15" s="618">
        <v>45.038167938931295</v>
      </c>
      <c r="G15" s="98">
        <v>72</v>
      </c>
      <c r="H15" s="618">
        <v>54.961832061068705</v>
      </c>
      <c r="I15" s="98">
        <v>15</v>
      </c>
      <c r="J15" s="98">
        <v>9</v>
      </c>
      <c r="K15" s="98">
        <v>7</v>
      </c>
      <c r="L15" s="98">
        <v>8</v>
      </c>
      <c r="M15" s="98">
        <v>5</v>
      </c>
      <c r="N15" s="98">
        <v>3</v>
      </c>
      <c r="O15" s="33">
        <v>25</v>
      </c>
    </row>
    <row r="16" spans="1:15" s="11" customFormat="1" ht="19.5" customHeight="1">
      <c r="A16" s="247">
        <v>26</v>
      </c>
      <c r="B16" s="98">
        <v>123</v>
      </c>
      <c r="C16" s="98">
        <v>55</v>
      </c>
      <c r="D16" s="98">
        <v>68</v>
      </c>
      <c r="E16" s="98">
        <v>30</v>
      </c>
      <c r="F16" s="618">
        <v>24.390243902439025</v>
      </c>
      <c r="G16" s="98">
        <v>93</v>
      </c>
      <c r="H16" s="618">
        <v>75.609756097560975</v>
      </c>
      <c r="I16" s="98">
        <v>27</v>
      </c>
      <c r="J16" s="98">
        <v>8</v>
      </c>
      <c r="K16" s="98">
        <v>4</v>
      </c>
      <c r="L16" s="98">
        <v>7</v>
      </c>
      <c r="M16" s="98">
        <v>5</v>
      </c>
      <c r="N16" s="98">
        <v>2</v>
      </c>
      <c r="O16" s="33">
        <v>40</v>
      </c>
    </row>
    <row r="17" spans="1:15" s="11" customFormat="1" ht="19.5" customHeight="1">
      <c r="A17" s="247">
        <v>27</v>
      </c>
      <c r="B17" s="98">
        <v>137</v>
      </c>
      <c r="C17" s="98">
        <v>56</v>
      </c>
      <c r="D17" s="98">
        <v>81</v>
      </c>
      <c r="E17" s="98">
        <v>51</v>
      </c>
      <c r="F17" s="618">
        <v>37.226277372262771</v>
      </c>
      <c r="G17" s="98">
        <v>86</v>
      </c>
      <c r="H17" s="618">
        <v>62.773722627737229</v>
      </c>
      <c r="I17" s="98">
        <v>18</v>
      </c>
      <c r="J17" s="98">
        <v>8</v>
      </c>
      <c r="K17" s="98">
        <v>10</v>
      </c>
      <c r="L17" s="98">
        <v>2</v>
      </c>
      <c r="M17" s="98">
        <v>4</v>
      </c>
      <c r="N17" s="98">
        <v>2</v>
      </c>
      <c r="O17" s="33">
        <v>42</v>
      </c>
    </row>
    <row r="18" spans="1:15" s="11" customFormat="1" ht="19.5" customHeight="1">
      <c r="A18" s="247">
        <v>28</v>
      </c>
      <c r="B18" s="98">
        <v>114</v>
      </c>
      <c r="C18" s="98">
        <v>49</v>
      </c>
      <c r="D18" s="98">
        <v>65</v>
      </c>
      <c r="E18" s="98">
        <v>45</v>
      </c>
      <c r="F18" s="618">
        <v>39.473684210526315</v>
      </c>
      <c r="G18" s="98">
        <v>69</v>
      </c>
      <c r="H18" s="618">
        <v>60.526315789473685</v>
      </c>
      <c r="I18" s="98">
        <v>11</v>
      </c>
      <c r="J18" s="98">
        <v>4</v>
      </c>
      <c r="K18" s="98">
        <v>4</v>
      </c>
      <c r="L18" s="98">
        <v>3</v>
      </c>
      <c r="M18" s="98">
        <v>6</v>
      </c>
      <c r="N18" s="98">
        <v>11</v>
      </c>
      <c r="O18" s="33">
        <v>30</v>
      </c>
    </row>
    <row r="19" spans="1:15" s="11" customFormat="1" ht="19.5" customHeight="1">
      <c r="A19" s="247">
        <v>29</v>
      </c>
      <c r="B19" s="98">
        <v>116</v>
      </c>
      <c r="C19" s="98">
        <v>55</v>
      </c>
      <c r="D19" s="98">
        <v>61</v>
      </c>
      <c r="E19" s="98">
        <v>42</v>
      </c>
      <c r="F19" s="618">
        <v>36.206896551724135</v>
      </c>
      <c r="G19" s="98">
        <v>74</v>
      </c>
      <c r="H19" s="618">
        <v>63.793103448275865</v>
      </c>
      <c r="I19" s="98">
        <v>32</v>
      </c>
      <c r="J19" s="98">
        <v>6</v>
      </c>
      <c r="K19" s="98">
        <v>3</v>
      </c>
      <c r="L19" s="98">
        <v>9</v>
      </c>
      <c r="M19" s="98">
        <v>4</v>
      </c>
      <c r="N19" s="98">
        <v>3</v>
      </c>
      <c r="O19" s="33">
        <v>17</v>
      </c>
    </row>
    <row r="20" spans="1:15" s="11" customFormat="1" ht="19.5" customHeight="1">
      <c r="A20" s="247">
        <v>30</v>
      </c>
      <c r="B20" s="98">
        <v>71</v>
      </c>
      <c r="C20" s="98">
        <v>40</v>
      </c>
      <c r="D20" s="98">
        <v>31</v>
      </c>
      <c r="E20" s="98">
        <v>18</v>
      </c>
      <c r="F20" s="618">
        <v>25.352112676056336</v>
      </c>
      <c r="G20" s="98">
        <v>53</v>
      </c>
      <c r="H20" s="618">
        <v>74.647887323943664</v>
      </c>
      <c r="I20" s="98">
        <v>24</v>
      </c>
      <c r="J20" s="98">
        <v>0</v>
      </c>
      <c r="K20" s="98">
        <v>2</v>
      </c>
      <c r="L20" s="98">
        <v>4</v>
      </c>
      <c r="M20" s="98">
        <v>5</v>
      </c>
      <c r="N20" s="98">
        <v>1</v>
      </c>
      <c r="O20" s="33">
        <v>17</v>
      </c>
    </row>
    <row r="21" spans="1:15" s="11" customFormat="1" ht="19.5" customHeight="1">
      <c r="A21" s="247" t="s">
        <v>79</v>
      </c>
      <c r="B21" s="98">
        <v>107</v>
      </c>
      <c r="C21" s="98">
        <v>59</v>
      </c>
      <c r="D21" s="98">
        <v>48</v>
      </c>
      <c r="E21" s="98">
        <v>42</v>
      </c>
      <c r="F21" s="618">
        <v>39.200000000000003</v>
      </c>
      <c r="G21" s="98">
        <v>65</v>
      </c>
      <c r="H21" s="618">
        <v>60.8</v>
      </c>
      <c r="I21" s="98">
        <v>33</v>
      </c>
      <c r="J21" s="98">
        <v>3</v>
      </c>
      <c r="K21" s="98">
        <v>5</v>
      </c>
      <c r="L21" s="98">
        <v>5</v>
      </c>
      <c r="M21" s="98">
        <v>5</v>
      </c>
      <c r="N21" s="98">
        <v>5</v>
      </c>
      <c r="O21" s="33">
        <v>9</v>
      </c>
    </row>
    <row r="22" spans="1:15" s="11" customFormat="1" ht="19.5" customHeight="1">
      <c r="A22" s="247">
        <v>2</v>
      </c>
      <c r="B22" s="647">
        <v>131</v>
      </c>
      <c r="C22" s="647">
        <v>63</v>
      </c>
      <c r="D22" s="647">
        <v>68</v>
      </c>
      <c r="E22" s="647">
        <v>32</v>
      </c>
      <c r="F22" s="665">
        <v>24.4</v>
      </c>
      <c r="G22" s="647">
        <v>99</v>
      </c>
      <c r="H22" s="665">
        <v>75.599999999999994</v>
      </c>
      <c r="I22" s="647">
        <v>59</v>
      </c>
      <c r="J22" s="647">
        <v>3</v>
      </c>
      <c r="K22" s="647">
        <v>5</v>
      </c>
      <c r="L22" s="647">
        <v>6</v>
      </c>
      <c r="M22" s="647">
        <v>5</v>
      </c>
      <c r="N22" s="647">
        <v>6</v>
      </c>
      <c r="O22" s="657">
        <v>15</v>
      </c>
    </row>
    <row r="23" spans="1:15" s="11" customFormat="1" ht="19.5" customHeight="1">
      <c r="A23" s="247">
        <v>3</v>
      </c>
      <c r="B23" s="647">
        <v>99</v>
      </c>
      <c r="C23" s="647">
        <v>51</v>
      </c>
      <c r="D23" s="647">
        <v>48</v>
      </c>
      <c r="E23" s="647">
        <v>31</v>
      </c>
      <c r="F23" s="665">
        <v>31.3</v>
      </c>
      <c r="G23" s="647">
        <v>68</v>
      </c>
      <c r="H23" s="665">
        <v>68.7</v>
      </c>
      <c r="I23" s="647">
        <v>29</v>
      </c>
      <c r="J23" s="647">
        <v>3</v>
      </c>
      <c r="K23" s="647">
        <v>2</v>
      </c>
      <c r="L23" s="647">
        <v>12</v>
      </c>
      <c r="M23" s="647">
        <v>4</v>
      </c>
      <c r="N23" s="647">
        <v>4</v>
      </c>
      <c r="O23" s="657">
        <v>14</v>
      </c>
    </row>
    <row r="24" spans="1:15" s="11" customFormat="1" ht="19.5" customHeight="1">
      <c r="A24" s="247">
        <v>4</v>
      </c>
      <c r="B24" s="647">
        <v>111</v>
      </c>
      <c r="C24" s="647">
        <v>54</v>
      </c>
      <c r="D24" s="647">
        <v>57</v>
      </c>
      <c r="E24" s="647">
        <v>41</v>
      </c>
      <c r="F24" s="665">
        <v>36.9</v>
      </c>
      <c r="G24" s="647">
        <v>70</v>
      </c>
      <c r="H24" s="665">
        <v>63.1</v>
      </c>
      <c r="I24" s="647">
        <v>23</v>
      </c>
      <c r="J24" s="647">
        <v>8</v>
      </c>
      <c r="K24" s="647">
        <v>8</v>
      </c>
      <c r="L24" s="647">
        <v>8</v>
      </c>
      <c r="M24" s="647">
        <v>2</v>
      </c>
      <c r="N24" s="647">
        <v>1</v>
      </c>
      <c r="O24" s="657">
        <v>20</v>
      </c>
    </row>
    <row r="25" spans="1:15" s="11" customFormat="1" ht="19.5" customHeight="1">
      <c r="A25" s="247">
        <v>5</v>
      </c>
      <c r="B25" s="647">
        <v>97</v>
      </c>
      <c r="C25" s="647">
        <v>57</v>
      </c>
      <c r="D25" s="647">
        <v>40</v>
      </c>
      <c r="E25" s="647">
        <v>23</v>
      </c>
      <c r="F25" s="665">
        <v>23.7</v>
      </c>
      <c r="G25" s="647">
        <v>74</v>
      </c>
      <c r="H25" s="665">
        <v>76.3</v>
      </c>
      <c r="I25" s="647">
        <v>25</v>
      </c>
      <c r="J25" s="647">
        <v>5</v>
      </c>
      <c r="K25" s="647">
        <v>2</v>
      </c>
      <c r="L25" s="647">
        <v>5</v>
      </c>
      <c r="M25" s="647">
        <v>6</v>
      </c>
      <c r="N25" s="647">
        <v>2</v>
      </c>
      <c r="O25" s="657">
        <v>29</v>
      </c>
    </row>
    <row r="26" spans="1:15" s="171" customFormat="1" ht="19.5" customHeight="1" thickBot="1">
      <c r="A26" s="554"/>
      <c r="B26" s="1122"/>
      <c r="C26" s="1122"/>
      <c r="D26" s="1122"/>
      <c r="E26" s="1122"/>
      <c r="F26" s="1123"/>
      <c r="G26" s="1122"/>
      <c r="H26" s="1123"/>
      <c r="I26" s="1122"/>
      <c r="J26" s="1122"/>
      <c r="K26" s="1122"/>
      <c r="L26" s="1122"/>
      <c r="M26" s="1122"/>
      <c r="N26" s="1122"/>
      <c r="O26" s="1124"/>
    </row>
    <row r="27" spans="1:15" s="11" customFormat="1" ht="19.5" customHeight="1">
      <c r="A27" s="258" t="s">
        <v>1039</v>
      </c>
      <c r="B27" s="258"/>
      <c r="C27" s="258"/>
      <c r="D27" s="258"/>
      <c r="E27" s="258"/>
      <c r="F27" s="258"/>
      <c r="G27" s="258"/>
    </row>
    <row r="28" spans="1:15" s="11" customFormat="1" ht="19.5" customHeight="1"/>
    <row r="29" spans="1:15" ht="19.5" customHeight="1"/>
    <row r="30" spans="1:15">
      <c r="A30" s="253"/>
      <c r="B30" s="36"/>
      <c r="C30" s="36"/>
      <c r="D30" s="36"/>
      <c r="E30" s="36"/>
      <c r="F30" s="619"/>
      <c r="G30" s="36"/>
      <c r="H30" s="619"/>
      <c r="I30" s="36"/>
      <c r="J30" s="36"/>
      <c r="K30" s="36"/>
      <c r="L30" s="36"/>
      <c r="M30" s="36"/>
      <c r="N30" s="36"/>
      <c r="O30" s="36"/>
    </row>
    <row r="31" spans="1:15">
      <c r="A31" s="253"/>
      <c r="B31" s="36"/>
      <c r="C31" s="36"/>
      <c r="D31" s="36"/>
      <c r="E31" s="36"/>
      <c r="F31" s="619"/>
      <c r="G31" s="36"/>
      <c r="H31" s="619"/>
      <c r="I31" s="36"/>
      <c r="J31" s="36"/>
      <c r="K31" s="36"/>
      <c r="L31" s="36"/>
      <c r="M31" s="36"/>
      <c r="N31" s="36"/>
      <c r="O31" s="36"/>
    </row>
    <row r="34" spans="1:15">
      <c r="A34" s="253"/>
      <c r="B34" s="36"/>
      <c r="C34" s="36"/>
      <c r="D34" s="36"/>
      <c r="E34" s="36"/>
      <c r="F34" s="619"/>
      <c r="G34" s="36"/>
      <c r="H34" s="619"/>
      <c r="I34" s="36"/>
      <c r="J34" s="36"/>
      <c r="K34" s="36"/>
      <c r="L34" s="36"/>
      <c r="M34" s="36"/>
      <c r="N34" s="36"/>
      <c r="O34" s="36"/>
    </row>
    <row r="35" spans="1:15">
      <c r="A35" s="253"/>
      <c r="B35" s="36"/>
      <c r="C35" s="36"/>
      <c r="D35" s="36"/>
      <c r="E35" s="36"/>
      <c r="F35" s="619"/>
      <c r="G35" s="36"/>
      <c r="H35" s="619"/>
      <c r="I35" s="36"/>
      <c r="J35" s="36"/>
      <c r="K35" s="36"/>
      <c r="L35" s="36"/>
      <c r="M35" s="36"/>
      <c r="N35" s="36"/>
      <c r="O35" s="36"/>
    </row>
  </sheetData>
  <mergeCells count="4">
    <mergeCell ref="A3:A4"/>
    <mergeCell ref="B3:D3"/>
    <mergeCell ref="E3:F3"/>
    <mergeCell ref="G3:O3"/>
  </mergeCells>
  <phoneticPr fontId="4"/>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A766-1D62-4A78-873B-6334B54ACFE6}">
  <sheetPr codeName="Sheet112"/>
  <dimension ref="A1:L14"/>
  <sheetViews>
    <sheetView workbookViewId="0">
      <selection activeCell="J18" sqref="J18"/>
    </sheetView>
  </sheetViews>
  <sheetFormatPr defaultColWidth="8.09765625" defaultRowHeight="13.2"/>
  <cols>
    <col min="1" max="1" width="7.59765625" style="1584" customWidth="1"/>
    <col min="2" max="5" width="6.796875" style="1343" customWidth="1"/>
    <col min="6" max="9" width="9.59765625" style="1343" customWidth="1"/>
    <col min="10" max="10" width="6.69921875" style="1343" bestFit="1" customWidth="1"/>
    <col min="11" max="12" width="9.59765625" style="1343" customWidth="1"/>
    <col min="13" max="16384" width="8.09765625" style="1343"/>
  </cols>
  <sheetData>
    <row r="1" spans="1:12" ht="30" customHeight="1">
      <c r="A1" s="1200" t="s">
        <v>2922</v>
      </c>
      <c r="B1" s="1200"/>
      <c r="C1" s="1200"/>
      <c r="D1" s="1201"/>
      <c r="E1" s="1201"/>
      <c r="F1" s="1201"/>
      <c r="G1" s="1201"/>
      <c r="H1" s="1201"/>
      <c r="I1" s="1201"/>
      <c r="J1" s="1201"/>
      <c r="L1" s="1344"/>
    </row>
    <row r="2" spans="1:12" ht="16.8" thickBot="1">
      <c r="A2" s="1202"/>
      <c r="B2" s="1200"/>
      <c r="C2" s="1200"/>
      <c r="D2" s="1201"/>
      <c r="E2" s="1201"/>
      <c r="F2" s="1201"/>
      <c r="G2" s="1201"/>
      <c r="H2" s="1201"/>
      <c r="I2" s="1201"/>
      <c r="J2" s="1201"/>
      <c r="L2" s="1344" t="s">
        <v>2923</v>
      </c>
    </row>
    <row r="3" spans="1:12">
      <c r="A3" s="2469" t="s">
        <v>2924</v>
      </c>
      <c r="B3" s="2583" t="s">
        <v>2925</v>
      </c>
      <c r="C3" s="2584"/>
      <c r="D3" s="2584"/>
      <c r="E3" s="2584"/>
      <c r="F3" s="2387" t="s">
        <v>2926</v>
      </c>
      <c r="G3" s="2388"/>
      <c r="H3" s="2387" t="s">
        <v>2926</v>
      </c>
      <c r="I3" s="2388"/>
      <c r="J3" s="2585" t="s">
        <v>2927</v>
      </c>
      <c r="K3" s="2387" t="s">
        <v>2928</v>
      </c>
      <c r="L3" s="2394"/>
    </row>
    <row r="4" spans="1:12">
      <c r="A4" s="2464"/>
      <c r="B4" s="2576" t="s">
        <v>2929</v>
      </c>
      <c r="C4" s="2424"/>
      <c r="D4" s="2576" t="s">
        <v>2930</v>
      </c>
      <c r="E4" s="2425"/>
      <c r="F4" s="2577" t="s">
        <v>2931</v>
      </c>
      <c r="G4" s="2579" t="s">
        <v>2932</v>
      </c>
      <c r="H4" s="2577" t="s">
        <v>2931</v>
      </c>
      <c r="I4" s="2579" t="s">
        <v>2932</v>
      </c>
      <c r="J4" s="2580"/>
      <c r="K4" s="2577" t="s">
        <v>2931</v>
      </c>
      <c r="L4" s="2582" t="s">
        <v>2932</v>
      </c>
    </row>
    <row r="5" spans="1:12">
      <c r="A5" s="2464"/>
      <c r="B5" s="2577" t="s">
        <v>2933</v>
      </c>
      <c r="C5" s="2582" t="s">
        <v>2934</v>
      </c>
      <c r="D5" s="2579" t="s">
        <v>2933</v>
      </c>
      <c r="E5" s="2586" t="s">
        <v>2934</v>
      </c>
      <c r="F5" s="2577"/>
      <c r="G5" s="2580"/>
      <c r="H5" s="2577"/>
      <c r="I5" s="2580"/>
      <c r="J5" s="2580"/>
      <c r="K5" s="2577"/>
      <c r="L5" s="2577"/>
    </row>
    <row r="6" spans="1:12">
      <c r="A6" s="2463"/>
      <c r="B6" s="2578"/>
      <c r="C6" s="2578"/>
      <c r="D6" s="2581"/>
      <c r="E6" s="2587"/>
      <c r="F6" s="2578"/>
      <c r="G6" s="2581"/>
      <c r="H6" s="2578"/>
      <c r="I6" s="2581"/>
      <c r="J6" s="2581"/>
      <c r="K6" s="2578"/>
      <c r="L6" s="2578"/>
    </row>
    <row r="7" spans="1:12" s="1463" customFormat="1" ht="10.8">
      <c r="A7" s="1581"/>
      <c r="B7" s="1259" t="s">
        <v>229</v>
      </c>
      <c r="C7" s="1259" t="s">
        <v>229</v>
      </c>
      <c r="D7" s="1545" t="s">
        <v>229</v>
      </c>
      <c r="E7" s="1582" t="s">
        <v>229</v>
      </c>
      <c r="F7" s="1259" t="s">
        <v>1517</v>
      </c>
      <c r="G7" s="1545" t="s">
        <v>1517</v>
      </c>
      <c r="H7" s="1545" t="s">
        <v>1517</v>
      </c>
      <c r="I7" s="1545" t="s">
        <v>1517</v>
      </c>
      <c r="J7" s="1583" t="s">
        <v>229</v>
      </c>
      <c r="K7" s="1259" t="s">
        <v>1517</v>
      </c>
      <c r="L7" s="1259" t="s">
        <v>1517</v>
      </c>
    </row>
    <row r="8" spans="1:12" s="1431" customFormat="1" ht="17.399999999999999" customHeight="1">
      <c r="A8" s="1434" t="s">
        <v>1059</v>
      </c>
      <c r="B8" s="1588">
        <v>1</v>
      </c>
      <c r="C8" s="1588">
        <v>3</v>
      </c>
      <c r="D8" s="1501" t="s">
        <v>431</v>
      </c>
      <c r="E8" s="1485" t="s">
        <v>431</v>
      </c>
      <c r="F8" s="480">
        <v>1440</v>
      </c>
      <c r="G8" s="450">
        <v>77554</v>
      </c>
      <c r="H8" s="450">
        <v>0</v>
      </c>
      <c r="I8" s="450">
        <v>14592</v>
      </c>
      <c r="J8" s="1589">
        <v>6</v>
      </c>
      <c r="K8" s="1590">
        <v>780</v>
      </c>
      <c r="L8" s="480">
        <v>57022</v>
      </c>
    </row>
    <row r="9" spans="1:12" s="1431" customFormat="1" ht="17.399999999999999" customHeight="1">
      <c r="A9" s="1434">
        <v>3</v>
      </c>
      <c r="B9" s="1588" t="s">
        <v>431</v>
      </c>
      <c r="C9" s="1588">
        <v>4</v>
      </c>
      <c r="D9" s="1501" t="s">
        <v>431</v>
      </c>
      <c r="E9" s="1485" t="s">
        <v>431</v>
      </c>
      <c r="F9" s="480">
        <v>1440</v>
      </c>
      <c r="G9" s="450">
        <v>78994</v>
      </c>
      <c r="H9" s="450">
        <v>0</v>
      </c>
      <c r="I9" s="450">
        <v>14592</v>
      </c>
      <c r="J9" s="1589">
        <v>4</v>
      </c>
      <c r="K9" s="1590">
        <v>880</v>
      </c>
      <c r="L9" s="480">
        <v>57902</v>
      </c>
    </row>
    <row r="10" spans="1:12" s="1431" customFormat="1" ht="17.399999999999999" customHeight="1">
      <c r="A10" s="1434">
        <v>4</v>
      </c>
      <c r="B10" s="1588" t="s">
        <v>431</v>
      </c>
      <c r="C10" s="1588">
        <v>2</v>
      </c>
      <c r="D10" s="1501" t="s">
        <v>431</v>
      </c>
      <c r="E10" s="1485" t="s">
        <v>431</v>
      </c>
      <c r="F10" s="480">
        <v>720</v>
      </c>
      <c r="G10" s="450">
        <v>79714</v>
      </c>
      <c r="H10" s="450">
        <v>0</v>
      </c>
      <c r="I10" s="450">
        <v>14592</v>
      </c>
      <c r="J10" s="1589">
        <v>2</v>
      </c>
      <c r="K10" s="1590">
        <v>240</v>
      </c>
      <c r="L10" s="480">
        <v>58142</v>
      </c>
    </row>
    <row r="11" spans="1:12" s="1431" customFormat="1" ht="17.399999999999999" customHeight="1">
      <c r="A11" s="1434">
        <v>5</v>
      </c>
      <c r="B11" s="1588" t="s">
        <v>431</v>
      </c>
      <c r="C11" s="1588">
        <v>1</v>
      </c>
      <c r="D11" s="1501" t="s">
        <v>431</v>
      </c>
      <c r="E11" s="1485" t="s">
        <v>431</v>
      </c>
      <c r="F11" s="480">
        <v>240</v>
      </c>
      <c r="G11" s="450">
        <v>79954</v>
      </c>
      <c r="H11" s="450">
        <v>0</v>
      </c>
      <c r="I11" s="450">
        <v>14592</v>
      </c>
      <c r="J11" s="1589">
        <v>3</v>
      </c>
      <c r="K11" s="1590">
        <v>390</v>
      </c>
      <c r="L11" s="480">
        <v>58532</v>
      </c>
    </row>
    <row r="12" spans="1:12" s="1431" customFormat="1" ht="17.399999999999999" customHeight="1" thickBot="1">
      <c r="A12" s="1434"/>
      <c r="B12" s="1588"/>
      <c r="C12" s="1588"/>
      <c r="D12" s="1501"/>
      <c r="E12" s="1485"/>
      <c r="F12" s="437"/>
      <c r="G12" s="452"/>
      <c r="H12" s="452"/>
      <c r="I12" s="452"/>
      <c r="J12" s="1591"/>
      <c r="K12" s="1592"/>
      <c r="L12" s="437"/>
    </row>
    <row r="13" spans="1:12">
      <c r="A13" s="1422" t="s">
        <v>2935</v>
      </c>
      <c r="B13" s="1422"/>
      <c r="C13" s="1422"/>
      <c r="D13" s="1422"/>
      <c r="E13" s="1422"/>
      <c r="F13" s="1201"/>
      <c r="G13" s="1201"/>
      <c r="H13" s="1201"/>
      <c r="I13" s="1201"/>
      <c r="J13" s="1201"/>
      <c r="K13" s="1201"/>
      <c r="L13" s="1201"/>
    </row>
    <row r="14" spans="1:12">
      <c r="A14" s="1412"/>
    </row>
  </sheetData>
  <mergeCells count="18">
    <mergeCell ref="A3:A6"/>
    <mergeCell ref="B3:E3"/>
    <mergeCell ref="F3:G3"/>
    <mergeCell ref="H3:I3"/>
    <mergeCell ref="J3:J6"/>
    <mergeCell ref="H4:H6"/>
    <mergeCell ref="I4:I6"/>
    <mergeCell ref="B5:B6"/>
    <mergeCell ref="C5:C6"/>
    <mergeCell ref="D5:D6"/>
    <mergeCell ref="E5:E6"/>
    <mergeCell ref="K3:L3"/>
    <mergeCell ref="B4:C4"/>
    <mergeCell ref="D4:E4"/>
    <mergeCell ref="F4:F6"/>
    <mergeCell ref="G4:G6"/>
    <mergeCell ref="K4:K6"/>
    <mergeCell ref="L4:L6"/>
  </mergeCells>
  <phoneticPr fontId="4"/>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2AA4-4ACB-4E79-BC74-6A52B51CEA21}">
  <sheetPr codeName="Sheet113"/>
  <dimension ref="A1:F14"/>
  <sheetViews>
    <sheetView workbookViewId="0"/>
  </sheetViews>
  <sheetFormatPr defaultRowHeight="13.2"/>
  <cols>
    <col min="1" max="1" width="15" style="1431" customWidth="1"/>
    <col min="2" max="5" width="15" style="1594" customWidth="1"/>
    <col min="6" max="6" width="8.796875" style="1594"/>
    <col min="7" max="256" width="8.796875" style="1431"/>
    <col min="257" max="261" width="15" style="1431" customWidth="1"/>
    <col min="262" max="512" width="8.796875" style="1431"/>
    <col min="513" max="517" width="15" style="1431" customWidth="1"/>
    <col min="518" max="768" width="8.796875" style="1431"/>
    <col min="769" max="773" width="15" style="1431" customWidth="1"/>
    <col min="774" max="1024" width="8.796875" style="1431"/>
    <col min="1025" max="1029" width="15" style="1431" customWidth="1"/>
    <col min="1030" max="1280" width="8.796875" style="1431"/>
    <col min="1281" max="1285" width="15" style="1431" customWidth="1"/>
    <col min="1286" max="1536" width="8.796875" style="1431"/>
    <col min="1537" max="1541" width="15" style="1431" customWidth="1"/>
    <col min="1542" max="1792" width="8.796875" style="1431"/>
    <col min="1793" max="1797" width="15" style="1431" customWidth="1"/>
    <col min="1798" max="2048" width="8.796875" style="1431"/>
    <col min="2049" max="2053" width="15" style="1431" customWidth="1"/>
    <col min="2054" max="2304" width="8.796875" style="1431"/>
    <col min="2305" max="2309" width="15" style="1431" customWidth="1"/>
    <col min="2310" max="2560" width="8.796875" style="1431"/>
    <col min="2561" max="2565" width="15" style="1431" customWidth="1"/>
    <col min="2566" max="2816" width="8.796875" style="1431"/>
    <col min="2817" max="2821" width="15" style="1431" customWidth="1"/>
    <col min="2822" max="3072" width="8.796875" style="1431"/>
    <col min="3073" max="3077" width="15" style="1431" customWidth="1"/>
    <col min="3078" max="3328" width="8.796875" style="1431"/>
    <col min="3329" max="3333" width="15" style="1431" customWidth="1"/>
    <col min="3334" max="3584" width="8.796875" style="1431"/>
    <col min="3585" max="3589" width="15" style="1431" customWidth="1"/>
    <col min="3590" max="3840" width="8.796875" style="1431"/>
    <col min="3841" max="3845" width="15" style="1431" customWidth="1"/>
    <col min="3846" max="4096" width="8.796875" style="1431"/>
    <col min="4097" max="4101" width="15" style="1431" customWidth="1"/>
    <col min="4102" max="4352" width="8.796875" style="1431"/>
    <col min="4353" max="4357" width="15" style="1431" customWidth="1"/>
    <col min="4358" max="4608" width="8.796875" style="1431"/>
    <col min="4609" max="4613" width="15" style="1431" customWidth="1"/>
    <col min="4614" max="4864" width="8.796875" style="1431"/>
    <col min="4865" max="4869" width="15" style="1431" customWidth="1"/>
    <col min="4870" max="5120" width="8.796875" style="1431"/>
    <col min="5121" max="5125" width="15" style="1431" customWidth="1"/>
    <col min="5126" max="5376" width="8.796875" style="1431"/>
    <col min="5377" max="5381" width="15" style="1431" customWidth="1"/>
    <col min="5382" max="5632" width="8.796875" style="1431"/>
    <col min="5633" max="5637" width="15" style="1431" customWidth="1"/>
    <col min="5638" max="5888" width="8.796875" style="1431"/>
    <col min="5889" max="5893" width="15" style="1431" customWidth="1"/>
    <col min="5894" max="6144" width="8.796875" style="1431"/>
    <col min="6145" max="6149" width="15" style="1431" customWidth="1"/>
    <col min="6150" max="6400" width="8.796875" style="1431"/>
    <col min="6401" max="6405" width="15" style="1431" customWidth="1"/>
    <col min="6406" max="6656" width="8.796875" style="1431"/>
    <col min="6657" max="6661" width="15" style="1431" customWidth="1"/>
    <col min="6662" max="6912" width="8.796875" style="1431"/>
    <col min="6913" max="6917" width="15" style="1431" customWidth="1"/>
    <col min="6918" max="7168" width="8.796875" style="1431"/>
    <col min="7169" max="7173" width="15" style="1431" customWidth="1"/>
    <col min="7174" max="7424" width="8.796875" style="1431"/>
    <col min="7425" max="7429" width="15" style="1431" customWidth="1"/>
    <col min="7430" max="7680" width="8.796875" style="1431"/>
    <col min="7681" max="7685" width="15" style="1431" customWidth="1"/>
    <col min="7686" max="7936" width="8.796875" style="1431"/>
    <col min="7937" max="7941" width="15" style="1431" customWidth="1"/>
    <col min="7942" max="8192" width="8.796875" style="1431"/>
    <col min="8193" max="8197" width="15" style="1431" customWidth="1"/>
    <col min="8198" max="8448" width="8.796875" style="1431"/>
    <col min="8449" max="8453" width="15" style="1431" customWidth="1"/>
    <col min="8454" max="8704" width="8.796875" style="1431"/>
    <col min="8705" max="8709" width="15" style="1431" customWidth="1"/>
    <col min="8710" max="8960" width="8.796875" style="1431"/>
    <col min="8961" max="8965" width="15" style="1431" customWidth="1"/>
    <col min="8966" max="9216" width="8.796875" style="1431"/>
    <col min="9217" max="9221" width="15" style="1431" customWidth="1"/>
    <col min="9222" max="9472" width="8.796875" style="1431"/>
    <col min="9473" max="9477" width="15" style="1431" customWidth="1"/>
    <col min="9478" max="9728" width="8.796875" style="1431"/>
    <col min="9729" max="9733" width="15" style="1431" customWidth="1"/>
    <col min="9734" max="9984" width="8.796875" style="1431"/>
    <col min="9985" max="9989" width="15" style="1431" customWidth="1"/>
    <col min="9990" max="10240" width="8.796875" style="1431"/>
    <col min="10241" max="10245" width="15" style="1431" customWidth="1"/>
    <col min="10246" max="10496" width="8.796875" style="1431"/>
    <col min="10497" max="10501" width="15" style="1431" customWidth="1"/>
    <col min="10502" max="10752" width="8.796875" style="1431"/>
    <col min="10753" max="10757" width="15" style="1431" customWidth="1"/>
    <col min="10758" max="11008" width="8.796875" style="1431"/>
    <col min="11009" max="11013" width="15" style="1431" customWidth="1"/>
    <col min="11014" max="11264" width="8.796875" style="1431"/>
    <col min="11265" max="11269" width="15" style="1431" customWidth="1"/>
    <col min="11270" max="11520" width="8.796875" style="1431"/>
    <col min="11521" max="11525" width="15" style="1431" customWidth="1"/>
    <col min="11526" max="11776" width="8.796875" style="1431"/>
    <col min="11777" max="11781" width="15" style="1431" customWidth="1"/>
    <col min="11782" max="12032" width="8.796875" style="1431"/>
    <col min="12033" max="12037" width="15" style="1431" customWidth="1"/>
    <col min="12038" max="12288" width="8.796875" style="1431"/>
    <col min="12289" max="12293" width="15" style="1431" customWidth="1"/>
    <col min="12294" max="12544" width="8.796875" style="1431"/>
    <col min="12545" max="12549" width="15" style="1431" customWidth="1"/>
    <col min="12550" max="12800" width="8.796875" style="1431"/>
    <col min="12801" max="12805" width="15" style="1431" customWidth="1"/>
    <col min="12806" max="13056" width="8.796875" style="1431"/>
    <col min="13057" max="13061" width="15" style="1431" customWidth="1"/>
    <col min="13062" max="13312" width="8.796875" style="1431"/>
    <col min="13313" max="13317" width="15" style="1431" customWidth="1"/>
    <col min="13318" max="13568" width="8.796875" style="1431"/>
    <col min="13569" max="13573" width="15" style="1431" customWidth="1"/>
    <col min="13574" max="13824" width="8.796875" style="1431"/>
    <col min="13825" max="13829" width="15" style="1431" customWidth="1"/>
    <col min="13830" max="14080" width="8.796875" style="1431"/>
    <col min="14081" max="14085" width="15" style="1431" customWidth="1"/>
    <col min="14086" max="14336" width="8.796875" style="1431"/>
    <col min="14337" max="14341" width="15" style="1431" customWidth="1"/>
    <col min="14342" max="14592" width="8.796875" style="1431"/>
    <col min="14593" max="14597" width="15" style="1431" customWidth="1"/>
    <col min="14598" max="14848" width="8.796875" style="1431"/>
    <col min="14849" max="14853" width="15" style="1431" customWidth="1"/>
    <col min="14854" max="15104" width="8.796875" style="1431"/>
    <col min="15105" max="15109" width="15" style="1431" customWidth="1"/>
    <col min="15110" max="15360" width="8.796875" style="1431"/>
    <col min="15361" max="15365" width="15" style="1431" customWidth="1"/>
    <col min="15366" max="15616" width="8.796875" style="1431"/>
    <col min="15617" max="15621" width="15" style="1431" customWidth="1"/>
    <col min="15622" max="15872" width="8.796875" style="1431"/>
    <col min="15873" max="15877" width="15" style="1431" customWidth="1"/>
    <col min="15878" max="16128" width="8.796875" style="1431"/>
    <col min="16129" max="16133" width="15" style="1431" customWidth="1"/>
    <col min="16134" max="16384" width="8.796875" style="1431"/>
  </cols>
  <sheetData>
    <row r="1" spans="1:5" ht="30" customHeight="1" thickBot="1">
      <c r="A1" s="1481" t="s">
        <v>2936</v>
      </c>
      <c r="B1" s="1434"/>
    </row>
    <row r="2" spans="1:5">
      <c r="A2" s="1595" t="s">
        <v>1498</v>
      </c>
      <c r="B2" s="1596" t="s">
        <v>2937</v>
      </c>
      <c r="C2" s="1596" t="s">
        <v>2938</v>
      </c>
      <c r="D2" s="1597" t="s">
        <v>279</v>
      </c>
      <c r="E2" s="1595" t="s">
        <v>2939</v>
      </c>
    </row>
    <row r="3" spans="1:5" s="1594" customFormat="1" ht="19.2" customHeight="1">
      <c r="A3" s="1434" t="s">
        <v>2940</v>
      </c>
      <c r="B3" s="1598">
        <v>47960</v>
      </c>
      <c r="C3" s="1599">
        <v>80265</v>
      </c>
      <c r="D3" s="1599">
        <v>128225</v>
      </c>
      <c r="E3" s="1600">
        <v>468</v>
      </c>
    </row>
    <row r="4" spans="1:5" s="1594" customFormat="1" ht="19.2" customHeight="1">
      <c r="A4" s="1434">
        <v>3</v>
      </c>
      <c r="B4" s="1598">
        <v>39837</v>
      </c>
      <c r="C4" s="1599">
        <v>73434</v>
      </c>
      <c r="D4" s="1599">
        <v>113271</v>
      </c>
      <c r="E4" s="1600">
        <v>484</v>
      </c>
    </row>
    <row r="5" spans="1:5" s="1594" customFormat="1" ht="19.2" customHeight="1">
      <c r="A5" s="1434">
        <v>4</v>
      </c>
      <c r="B5" s="1598">
        <v>44455</v>
      </c>
      <c r="C5" s="1599">
        <v>78730</v>
      </c>
      <c r="D5" s="1599">
        <v>123185</v>
      </c>
      <c r="E5" s="1600">
        <v>435</v>
      </c>
    </row>
    <row r="6" spans="1:5" s="1594" customFormat="1" ht="19.2" customHeight="1">
      <c r="A6" s="1434">
        <v>5</v>
      </c>
      <c r="B6" s="1598">
        <v>44896</v>
      </c>
      <c r="C6" s="1599">
        <v>77877</v>
      </c>
      <c r="D6" s="1599">
        <v>122773</v>
      </c>
      <c r="E6" s="1600">
        <v>427</v>
      </c>
    </row>
    <row r="7" spans="1:5" s="1594" customFormat="1" ht="19.2" customHeight="1" thickBot="1">
      <c r="A7" s="1601"/>
      <c r="B7" s="1602"/>
      <c r="C7" s="1603"/>
      <c r="D7" s="1603"/>
      <c r="E7" s="1604"/>
    </row>
    <row r="8" spans="1:5" s="1594" customFormat="1" ht="16.2" customHeight="1">
      <c r="A8" s="1236" t="s">
        <v>2941</v>
      </c>
      <c r="B8" s="1451"/>
    </row>
    <row r="9" spans="1:5" s="1594" customFormat="1" ht="16.2" customHeight="1">
      <c r="A9" s="1605" t="s">
        <v>2942</v>
      </c>
    </row>
    <row r="14" spans="1:5" s="1594" customFormat="1">
      <c r="A14" s="1236"/>
      <c r="C14" s="1434"/>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06BC-A162-44D6-A09B-FF66A473A6E8}">
  <sheetPr codeName="Sheet2">
    <pageSetUpPr fitToPage="1"/>
  </sheetPr>
  <dimension ref="A1:K9"/>
  <sheetViews>
    <sheetView zoomScaleNormal="100" workbookViewId="0"/>
  </sheetViews>
  <sheetFormatPr defaultColWidth="9" defaultRowHeight="13.2"/>
  <cols>
    <col min="1" max="1" width="7.09765625" style="2" customWidth="1"/>
    <col min="2" max="2" width="6.19921875" style="2" customWidth="1"/>
    <col min="3" max="3" width="12" style="2" customWidth="1"/>
    <col min="4" max="6" width="23.59765625" style="2" customWidth="1"/>
    <col min="7" max="7" width="3.8984375" style="2" customWidth="1"/>
    <col min="8" max="8" width="3.59765625" style="2" customWidth="1"/>
    <col min="9" max="9" width="9.59765625" style="2" customWidth="1"/>
    <col min="10" max="10" width="5.09765625" style="2" customWidth="1"/>
    <col min="11" max="11" width="13" style="2" customWidth="1"/>
    <col min="12" max="12" width="4.8984375" style="2" customWidth="1"/>
    <col min="13" max="13" width="6.09765625" style="2" customWidth="1"/>
    <col min="14" max="14" width="6" style="2" customWidth="1"/>
    <col min="15" max="15" width="5.69921875" style="2" customWidth="1"/>
    <col min="16" max="16" width="3.69921875" style="2" customWidth="1"/>
    <col min="17" max="17" width="3.59765625" style="2" customWidth="1"/>
    <col min="18" max="18" width="7.3984375" style="2" customWidth="1"/>
    <col min="19" max="16384" width="9" style="2"/>
  </cols>
  <sheetData>
    <row r="1" spans="1:11" ht="30" customHeight="1" thickBot="1">
      <c r="A1" s="1" t="s">
        <v>0</v>
      </c>
      <c r="B1" s="1"/>
      <c r="C1" s="1"/>
      <c r="D1" s="1"/>
      <c r="F1" s="3" t="s">
        <v>1</v>
      </c>
      <c r="G1" s="3"/>
    </row>
    <row r="2" spans="1:11" ht="30" customHeight="1">
      <c r="A2" s="2171" t="s">
        <v>2</v>
      </c>
      <c r="B2" s="2172"/>
      <c r="C2" s="2172"/>
      <c r="D2" s="4" t="s">
        <v>3</v>
      </c>
      <c r="E2" s="4" t="s">
        <v>4</v>
      </c>
      <c r="F2" s="5" t="s">
        <v>5</v>
      </c>
      <c r="J2" s="3"/>
      <c r="K2" s="3"/>
    </row>
    <row r="3" spans="1:11" ht="30" customHeight="1">
      <c r="A3" s="2173" t="s">
        <v>6</v>
      </c>
      <c r="B3" s="2174"/>
      <c r="C3" s="2174"/>
      <c r="D3" s="6" t="s">
        <v>7</v>
      </c>
      <c r="E3" s="6" t="s">
        <v>8</v>
      </c>
      <c r="F3" s="7" t="s">
        <v>9</v>
      </c>
      <c r="J3" s="3"/>
      <c r="K3" s="3"/>
    </row>
    <row r="4" spans="1:11" ht="30" customHeight="1">
      <c r="A4" s="2173" t="s">
        <v>10</v>
      </c>
      <c r="B4" s="2174"/>
      <c r="C4" s="2174"/>
      <c r="D4" s="6" t="s">
        <v>11</v>
      </c>
      <c r="E4" s="6" t="s">
        <v>12</v>
      </c>
      <c r="F4" s="7" t="s">
        <v>13</v>
      </c>
      <c r="J4" s="3"/>
      <c r="K4" s="3"/>
    </row>
    <row r="5" spans="1:11" ht="30" customHeight="1" thickBot="1">
      <c r="A5" s="2175" t="s">
        <v>14</v>
      </c>
      <c r="B5" s="2176"/>
      <c r="C5" s="2176"/>
      <c r="D5" s="8" t="s">
        <v>15</v>
      </c>
      <c r="E5" s="8" t="s">
        <v>16</v>
      </c>
      <c r="F5" s="9" t="s">
        <v>17</v>
      </c>
      <c r="J5" s="3"/>
      <c r="K5" s="3"/>
    </row>
    <row r="6" spans="1:11" ht="30" customHeight="1" thickBot="1">
      <c r="A6" s="2177" t="s">
        <v>18</v>
      </c>
      <c r="B6" s="2177"/>
      <c r="C6" s="2177"/>
      <c r="D6" s="2177"/>
      <c r="E6" s="2178"/>
      <c r="F6" s="10" t="s">
        <v>19</v>
      </c>
      <c r="J6" s="3"/>
      <c r="K6" s="3"/>
    </row>
    <row r="7" spans="1:11" ht="20.25" customHeight="1">
      <c r="A7" s="2170" t="s">
        <v>20</v>
      </c>
      <c r="B7" s="2170"/>
      <c r="C7" s="2170"/>
      <c r="D7" s="1"/>
      <c r="J7" s="3"/>
      <c r="K7" s="3"/>
    </row>
    <row r="8" spans="1:11" ht="30" customHeight="1">
      <c r="A8" s="1"/>
      <c r="B8" s="1"/>
      <c r="C8" s="1"/>
      <c r="D8" s="1"/>
      <c r="J8" s="3"/>
      <c r="K8" s="3"/>
    </row>
    <row r="9" spans="1:11" ht="30" customHeight="1">
      <c r="A9" s="11"/>
      <c r="B9" s="11"/>
      <c r="C9" s="11"/>
    </row>
  </sheetData>
  <mergeCells count="6">
    <mergeCell ref="A7:C7"/>
    <mergeCell ref="A2:C2"/>
    <mergeCell ref="A3:C3"/>
    <mergeCell ref="A4:C4"/>
    <mergeCell ref="A5:C5"/>
    <mergeCell ref="A6:E6"/>
  </mergeCells>
  <phoneticPr fontId="4"/>
  <pageMargins left="0.78700000000000003" right="0.78700000000000003" top="0.98399999999999999" bottom="0.98399999999999999" header="0.51200000000000001" footer="0.51200000000000001"/>
  <pageSetup paperSize="9" scale="81" fitToHeight="0"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44E5B-4CBF-40D0-A66C-CB82CE16B344}">
  <sheetPr codeName="Sheet114"/>
  <dimension ref="A1:E15"/>
  <sheetViews>
    <sheetView workbookViewId="0"/>
  </sheetViews>
  <sheetFormatPr defaultRowHeight="13.2"/>
  <cols>
    <col min="1" max="5" width="15" style="1431" customWidth="1"/>
    <col min="6" max="256" width="8.796875" style="1431"/>
    <col min="257" max="261" width="15" style="1431" customWidth="1"/>
    <col min="262" max="512" width="8.796875" style="1431"/>
    <col min="513" max="517" width="15" style="1431" customWidth="1"/>
    <col min="518" max="768" width="8.796875" style="1431"/>
    <col min="769" max="773" width="15" style="1431" customWidth="1"/>
    <col min="774" max="1024" width="8.796875" style="1431"/>
    <col min="1025" max="1029" width="15" style="1431" customWidth="1"/>
    <col min="1030" max="1280" width="8.796875" style="1431"/>
    <col min="1281" max="1285" width="15" style="1431" customWidth="1"/>
    <col min="1286" max="1536" width="8.796875" style="1431"/>
    <col min="1537" max="1541" width="15" style="1431" customWidth="1"/>
    <col min="1542" max="1792" width="8.796875" style="1431"/>
    <col min="1793" max="1797" width="15" style="1431" customWidth="1"/>
    <col min="1798" max="2048" width="8.796875" style="1431"/>
    <col min="2049" max="2053" width="15" style="1431" customWidth="1"/>
    <col min="2054" max="2304" width="8.796875" style="1431"/>
    <col min="2305" max="2309" width="15" style="1431" customWidth="1"/>
    <col min="2310" max="2560" width="8.796875" style="1431"/>
    <col min="2561" max="2565" width="15" style="1431" customWidth="1"/>
    <col min="2566" max="2816" width="8.796875" style="1431"/>
    <col min="2817" max="2821" width="15" style="1431" customWidth="1"/>
    <col min="2822" max="3072" width="8.796875" style="1431"/>
    <col min="3073" max="3077" width="15" style="1431" customWidth="1"/>
    <col min="3078" max="3328" width="8.796875" style="1431"/>
    <col min="3329" max="3333" width="15" style="1431" customWidth="1"/>
    <col min="3334" max="3584" width="8.796875" style="1431"/>
    <col min="3585" max="3589" width="15" style="1431" customWidth="1"/>
    <col min="3590" max="3840" width="8.796875" style="1431"/>
    <col min="3841" max="3845" width="15" style="1431" customWidth="1"/>
    <col min="3846" max="4096" width="8.796875" style="1431"/>
    <col min="4097" max="4101" width="15" style="1431" customWidth="1"/>
    <col min="4102" max="4352" width="8.796875" style="1431"/>
    <col min="4353" max="4357" width="15" style="1431" customWidth="1"/>
    <col min="4358" max="4608" width="8.796875" style="1431"/>
    <col min="4609" max="4613" width="15" style="1431" customWidth="1"/>
    <col min="4614" max="4864" width="8.796875" style="1431"/>
    <col min="4865" max="4869" width="15" style="1431" customWidth="1"/>
    <col min="4870" max="5120" width="8.796875" style="1431"/>
    <col min="5121" max="5125" width="15" style="1431" customWidth="1"/>
    <col min="5126" max="5376" width="8.796875" style="1431"/>
    <col min="5377" max="5381" width="15" style="1431" customWidth="1"/>
    <col min="5382" max="5632" width="8.796875" style="1431"/>
    <col min="5633" max="5637" width="15" style="1431" customWidth="1"/>
    <col min="5638" max="5888" width="8.796875" style="1431"/>
    <col min="5889" max="5893" width="15" style="1431" customWidth="1"/>
    <col min="5894" max="6144" width="8.796875" style="1431"/>
    <col min="6145" max="6149" width="15" style="1431" customWidth="1"/>
    <col min="6150" max="6400" width="8.796875" style="1431"/>
    <col min="6401" max="6405" width="15" style="1431" customWidth="1"/>
    <col min="6406" max="6656" width="8.796875" style="1431"/>
    <col min="6657" max="6661" width="15" style="1431" customWidth="1"/>
    <col min="6662" max="6912" width="8.796875" style="1431"/>
    <col min="6913" max="6917" width="15" style="1431" customWidth="1"/>
    <col min="6918" max="7168" width="8.796875" style="1431"/>
    <col min="7169" max="7173" width="15" style="1431" customWidth="1"/>
    <col min="7174" max="7424" width="8.796875" style="1431"/>
    <col min="7425" max="7429" width="15" style="1431" customWidth="1"/>
    <col min="7430" max="7680" width="8.796875" style="1431"/>
    <col min="7681" max="7685" width="15" style="1431" customWidth="1"/>
    <col min="7686" max="7936" width="8.796875" style="1431"/>
    <col min="7937" max="7941" width="15" style="1431" customWidth="1"/>
    <col min="7942" max="8192" width="8.796875" style="1431"/>
    <col min="8193" max="8197" width="15" style="1431" customWidth="1"/>
    <col min="8198" max="8448" width="8.796875" style="1431"/>
    <col min="8449" max="8453" width="15" style="1431" customWidth="1"/>
    <col min="8454" max="8704" width="8.796875" style="1431"/>
    <col min="8705" max="8709" width="15" style="1431" customWidth="1"/>
    <col min="8710" max="8960" width="8.796875" style="1431"/>
    <col min="8961" max="8965" width="15" style="1431" customWidth="1"/>
    <col min="8966" max="9216" width="8.796875" style="1431"/>
    <col min="9217" max="9221" width="15" style="1431" customWidth="1"/>
    <col min="9222" max="9472" width="8.796875" style="1431"/>
    <col min="9473" max="9477" width="15" style="1431" customWidth="1"/>
    <col min="9478" max="9728" width="8.796875" style="1431"/>
    <col min="9729" max="9733" width="15" style="1431" customWidth="1"/>
    <col min="9734" max="9984" width="8.796875" style="1431"/>
    <col min="9985" max="9989" width="15" style="1431" customWidth="1"/>
    <col min="9990" max="10240" width="8.796875" style="1431"/>
    <col min="10241" max="10245" width="15" style="1431" customWidth="1"/>
    <col min="10246" max="10496" width="8.796875" style="1431"/>
    <col min="10497" max="10501" width="15" style="1431" customWidth="1"/>
    <col min="10502" max="10752" width="8.796875" style="1431"/>
    <col min="10753" max="10757" width="15" style="1431" customWidth="1"/>
    <col min="10758" max="11008" width="8.796875" style="1431"/>
    <col min="11009" max="11013" width="15" style="1431" customWidth="1"/>
    <col min="11014" max="11264" width="8.796875" style="1431"/>
    <col min="11265" max="11269" width="15" style="1431" customWidth="1"/>
    <col min="11270" max="11520" width="8.796875" style="1431"/>
    <col min="11521" max="11525" width="15" style="1431" customWidth="1"/>
    <col min="11526" max="11776" width="8.796875" style="1431"/>
    <col min="11777" max="11781" width="15" style="1431" customWidth="1"/>
    <col min="11782" max="12032" width="8.796875" style="1431"/>
    <col min="12033" max="12037" width="15" style="1431" customWidth="1"/>
    <col min="12038" max="12288" width="8.796875" style="1431"/>
    <col min="12289" max="12293" width="15" style="1431" customWidth="1"/>
    <col min="12294" max="12544" width="8.796875" style="1431"/>
    <col min="12545" max="12549" width="15" style="1431" customWidth="1"/>
    <col min="12550" max="12800" width="8.796875" style="1431"/>
    <col min="12801" max="12805" width="15" style="1431" customWidth="1"/>
    <col min="12806" max="13056" width="8.796875" style="1431"/>
    <col min="13057" max="13061" width="15" style="1431" customWidth="1"/>
    <col min="13062" max="13312" width="8.796875" style="1431"/>
    <col min="13313" max="13317" width="15" style="1431" customWidth="1"/>
    <col min="13318" max="13568" width="8.796875" style="1431"/>
    <col min="13569" max="13573" width="15" style="1431" customWidth="1"/>
    <col min="13574" max="13824" width="8.796875" style="1431"/>
    <col min="13825" max="13829" width="15" style="1431" customWidth="1"/>
    <col min="13830" max="14080" width="8.796875" style="1431"/>
    <col min="14081" max="14085" width="15" style="1431" customWidth="1"/>
    <col min="14086" max="14336" width="8.796875" style="1431"/>
    <col min="14337" max="14341" width="15" style="1431" customWidth="1"/>
    <col min="14342" max="14592" width="8.796875" style="1431"/>
    <col min="14593" max="14597" width="15" style="1431" customWidth="1"/>
    <col min="14598" max="14848" width="8.796875" style="1431"/>
    <col min="14849" max="14853" width="15" style="1431" customWidth="1"/>
    <col min="14854" max="15104" width="8.796875" style="1431"/>
    <col min="15105" max="15109" width="15" style="1431" customWidth="1"/>
    <col min="15110" max="15360" width="8.796875" style="1431"/>
    <col min="15361" max="15365" width="15" style="1431" customWidth="1"/>
    <col min="15366" max="15616" width="8.796875" style="1431"/>
    <col min="15617" max="15621" width="15" style="1431" customWidth="1"/>
    <col min="15622" max="15872" width="8.796875" style="1431"/>
    <col min="15873" max="15877" width="15" style="1431" customWidth="1"/>
    <col min="15878" max="16128" width="8.796875" style="1431"/>
    <col min="16129" max="16133" width="15" style="1431" customWidth="1"/>
    <col min="16134" max="16384" width="8.796875" style="1431"/>
  </cols>
  <sheetData>
    <row r="1" spans="1:5" ht="30" customHeight="1" thickBot="1">
      <c r="A1" s="1606" t="s">
        <v>2943</v>
      </c>
      <c r="B1" s="1434"/>
      <c r="C1" s="1594"/>
      <c r="D1" s="1594"/>
      <c r="E1" s="1594"/>
    </row>
    <row r="2" spans="1:5">
      <c r="A2" s="1595" t="s">
        <v>1498</v>
      </c>
      <c r="B2" s="1597" t="s">
        <v>2944</v>
      </c>
      <c r="C2" s="1597" t="s">
        <v>2945</v>
      </c>
      <c r="D2" s="1597" t="s">
        <v>279</v>
      </c>
      <c r="E2" s="1595" t="s">
        <v>2946</v>
      </c>
    </row>
    <row r="3" spans="1:5" ht="19.8" customHeight="1">
      <c r="A3" s="1434" t="s">
        <v>2940</v>
      </c>
      <c r="B3" s="1599">
        <v>4161</v>
      </c>
      <c r="C3" s="1599">
        <v>23420</v>
      </c>
      <c r="D3" s="1599">
        <v>27581</v>
      </c>
      <c r="E3" s="1607">
        <v>4.5999999999999996</v>
      </c>
    </row>
    <row r="4" spans="1:5" ht="19.8" customHeight="1">
      <c r="A4" s="1434">
        <v>3</v>
      </c>
      <c r="B4" s="1599">
        <v>3406</v>
      </c>
      <c r="C4" s="1599">
        <v>20421</v>
      </c>
      <c r="D4" s="1599">
        <v>23827</v>
      </c>
      <c r="E4" s="1607">
        <v>4.5999999999999996</v>
      </c>
    </row>
    <row r="5" spans="1:5" ht="19.8" customHeight="1">
      <c r="A5" s="1434">
        <v>4</v>
      </c>
      <c r="B5" s="1599">
        <v>4148</v>
      </c>
      <c r="C5" s="1599">
        <v>21655</v>
      </c>
      <c r="D5" s="1599">
        <v>25803</v>
      </c>
      <c r="E5" s="1607">
        <v>4.7</v>
      </c>
    </row>
    <row r="6" spans="1:5" ht="19.8" customHeight="1">
      <c r="A6" s="1434">
        <v>5</v>
      </c>
      <c r="B6" s="1599">
        <v>4733</v>
      </c>
      <c r="C6" s="1599">
        <v>23447</v>
      </c>
      <c r="D6" s="1599">
        <v>28180</v>
      </c>
      <c r="E6" s="1607">
        <v>4.4000000000000004</v>
      </c>
    </row>
    <row r="7" spans="1:5" ht="19.8" customHeight="1" thickBot="1">
      <c r="A7" s="1601"/>
      <c r="B7" s="1603"/>
      <c r="C7" s="1603"/>
      <c r="D7" s="1603"/>
      <c r="E7" s="1608"/>
    </row>
    <row r="8" spans="1:5" ht="16.2" customHeight="1">
      <c r="A8" s="1236" t="s">
        <v>2941</v>
      </c>
      <c r="B8" s="1594"/>
      <c r="C8" s="1594"/>
      <c r="D8" s="1594"/>
      <c r="E8" s="1594"/>
    </row>
    <row r="9" spans="1:5" ht="16.2" customHeight="1">
      <c r="A9" s="1236" t="s">
        <v>2947</v>
      </c>
      <c r="B9" s="1594"/>
      <c r="C9" s="1594"/>
      <c r="D9" s="1594"/>
      <c r="E9" s="1594"/>
    </row>
    <row r="10" spans="1:5">
      <c r="A10" s="1236" t="s">
        <v>2948</v>
      </c>
    </row>
    <row r="15" spans="1:5">
      <c r="A15" s="1236"/>
    </row>
  </sheetData>
  <phoneticPr fontId="4"/>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40EA1-B839-4241-9CDC-5BE195B2A2EC}">
  <sheetPr codeName="Sheet115"/>
  <dimension ref="A1:I36"/>
  <sheetViews>
    <sheetView workbookViewId="0"/>
  </sheetViews>
  <sheetFormatPr defaultColWidth="8.09765625" defaultRowHeight="13.2"/>
  <cols>
    <col min="1" max="1" width="3.69921875" style="1610" customWidth="1"/>
    <col min="2" max="2" width="13.796875" style="1610" customWidth="1"/>
    <col min="3" max="3" width="14.09765625" style="1610" customWidth="1"/>
    <col min="4" max="4" width="13" style="1610" customWidth="1"/>
    <col min="5" max="5" width="6.3984375" style="1610" customWidth="1"/>
    <col min="6" max="6" width="12.5" style="1610" customWidth="1"/>
    <col min="7" max="7" width="14.09765625" style="1610" customWidth="1"/>
    <col min="8" max="8" width="9.8984375" style="1610" bestFit="1" customWidth="1"/>
    <col min="9" max="16384" width="8.09765625" style="1610"/>
  </cols>
  <sheetData>
    <row r="1" spans="1:9" ht="30" customHeight="1" thickBot="1">
      <c r="A1" s="1609" t="s">
        <v>2949</v>
      </c>
      <c r="G1" s="1630" t="s">
        <v>2950</v>
      </c>
    </row>
    <row r="2" spans="1:9">
      <c r="A2" s="2588" t="s">
        <v>2951</v>
      </c>
      <c r="B2" s="2589"/>
      <c r="C2" s="1611" t="s">
        <v>2952</v>
      </c>
      <c r="D2" s="1612" t="s">
        <v>2953</v>
      </c>
      <c r="E2" s="1613"/>
      <c r="F2" s="1614" t="s">
        <v>2954</v>
      </c>
      <c r="G2" s="1615" t="s">
        <v>2955</v>
      </c>
      <c r="H2" s="1613"/>
    </row>
    <row r="3" spans="1:9">
      <c r="A3" s="1616"/>
      <c r="B3" s="1616"/>
      <c r="C3" s="1617" t="s">
        <v>2956</v>
      </c>
      <c r="D3" s="1618" t="s">
        <v>1026</v>
      </c>
      <c r="E3" s="1613"/>
      <c r="F3" s="1619"/>
      <c r="G3" s="1618" t="s">
        <v>230</v>
      </c>
      <c r="H3" s="1613"/>
    </row>
    <row r="4" spans="1:9">
      <c r="A4" s="1616" t="s">
        <v>2957</v>
      </c>
      <c r="B4" s="1620" t="s">
        <v>2958</v>
      </c>
      <c r="C4" s="1631">
        <v>8419</v>
      </c>
      <c r="D4" s="1632">
        <v>5.2843334170223448</v>
      </c>
      <c r="E4" s="1613"/>
      <c r="F4" s="1406" t="s">
        <v>2959</v>
      </c>
      <c r="G4" s="1633">
        <v>65089</v>
      </c>
      <c r="H4" s="1613"/>
    </row>
    <row r="5" spans="1:9">
      <c r="A5" s="1401">
        <v>0</v>
      </c>
      <c r="B5" s="1620" t="s">
        <v>2960</v>
      </c>
      <c r="C5" s="1631">
        <v>4411</v>
      </c>
      <c r="D5" s="1632">
        <v>2.7686417273412003</v>
      </c>
      <c r="E5" s="1613"/>
      <c r="F5" s="1406" t="s">
        <v>2961</v>
      </c>
      <c r="G5" s="1633">
        <v>48830</v>
      </c>
      <c r="H5" s="1613"/>
    </row>
    <row r="6" spans="1:9" ht="13.8" thickBot="1">
      <c r="A6" s="1401">
        <v>1</v>
      </c>
      <c r="B6" s="1620" t="s">
        <v>2962</v>
      </c>
      <c r="C6" s="1631">
        <v>4623</v>
      </c>
      <c r="D6" s="1632">
        <v>2.9017072558373087</v>
      </c>
      <c r="E6" s="1613"/>
      <c r="F6" s="1418" t="s">
        <v>2958</v>
      </c>
      <c r="G6" s="1634">
        <v>456</v>
      </c>
      <c r="H6" s="1613"/>
    </row>
    <row r="7" spans="1:9" ht="13.8" thickBot="1">
      <c r="A7" s="1401">
        <v>2</v>
      </c>
      <c r="B7" s="1620" t="s">
        <v>2963</v>
      </c>
      <c r="C7" s="1631">
        <v>10282</v>
      </c>
      <c r="D7" s="1632">
        <v>6.4536781320612606</v>
      </c>
      <c r="E7" s="1613"/>
      <c r="F7" s="1621" t="s">
        <v>2964</v>
      </c>
      <c r="G7" s="1635">
        <f>+SUM(G4:G6)</f>
        <v>114375</v>
      </c>
      <c r="H7" s="1613"/>
    </row>
    <row r="8" spans="1:9" ht="16.2" customHeight="1">
      <c r="A8" s="1401">
        <v>3</v>
      </c>
      <c r="B8" s="1620" t="s">
        <v>2965</v>
      </c>
      <c r="C8" s="1631">
        <v>16255</v>
      </c>
      <c r="D8" s="1632">
        <v>10.202736630680391</v>
      </c>
      <c r="E8" s="1613"/>
      <c r="F8" s="1585" t="s">
        <v>2966</v>
      </c>
      <c r="G8" s="1636">
        <v>5047</v>
      </c>
      <c r="H8" s="1613"/>
    </row>
    <row r="9" spans="1:9" ht="16.2" customHeight="1">
      <c r="A9" s="1401">
        <v>4</v>
      </c>
      <c r="B9" s="1620" t="s">
        <v>2967</v>
      </c>
      <c r="C9" s="1631">
        <v>9165</v>
      </c>
      <c r="D9" s="1632">
        <v>5.7525734371077082</v>
      </c>
      <c r="E9" s="1613"/>
      <c r="F9" s="1406" t="s">
        <v>2968</v>
      </c>
      <c r="G9" s="1633">
        <v>390</v>
      </c>
      <c r="H9" s="1613"/>
    </row>
    <row r="10" spans="1:9">
      <c r="A10" s="1401">
        <v>5</v>
      </c>
      <c r="B10" s="1620" t="s">
        <v>2969</v>
      </c>
      <c r="C10" s="1631">
        <v>8799</v>
      </c>
      <c r="D10" s="1632">
        <v>5.5228471001757473</v>
      </c>
      <c r="E10" s="1613"/>
      <c r="F10" s="1406" t="s">
        <v>2970</v>
      </c>
      <c r="G10" s="1633">
        <v>928</v>
      </c>
      <c r="H10" s="1613"/>
    </row>
    <row r="11" spans="1:9">
      <c r="A11" s="1401">
        <v>6</v>
      </c>
      <c r="B11" s="1620" t="s">
        <v>2971</v>
      </c>
      <c r="C11" s="1631">
        <v>4438</v>
      </c>
      <c r="D11" s="1632">
        <v>2.7855887521968365</v>
      </c>
      <c r="E11" s="1613"/>
      <c r="F11" s="1406" t="s">
        <v>2972</v>
      </c>
      <c r="G11" s="1633">
        <v>1859</v>
      </c>
      <c r="H11" s="1613"/>
    </row>
    <row r="12" spans="1:9" ht="13.8" thickBot="1">
      <c r="A12" s="1401">
        <v>7</v>
      </c>
      <c r="B12" s="1620" t="s">
        <v>2973</v>
      </c>
      <c r="C12" s="1631">
        <v>12855</v>
      </c>
      <c r="D12" s="1632">
        <v>8.0686668340446897</v>
      </c>
      <c r="E12" s="1613"/>
      <c r="F12" s="1418" t="s">
        <v>2974</v>
      </c>
      <c r="G12" s="1634">
        <v>1831</v>
      </c>
      <c r="H12" s="1613"/>
      <c r="I12" s="1584"/>
    </row>
    <row r="13" spans="1:9" ht="13.8" thickBot="1">
      <c r="A13" s="1401">
        <v>8</v>
      </c>
      <c r="B13" s="1620" t="s">
        <v>2975</v>
      </c>
      <c r="C13" s="1631">
        <v>1083</v>
      </c>
      <c r="D13" s="1632">
        <v>0.67976399698719558</v>
      </c>
      <c r="E13" s="1613"/>
      <c r="F13" s="1418" t="s">
        <v>2976</v>
      </c>
      <c r="G13" s="1637">
        <f>+SUM(G7:G12)</f>
        <v>124430</v>
      </c>
      <c r="H13" s="1613"/>
    </row>
    <row r="14" spans="1:9" ht="13.8" thickBot="1">
      <c r="A14" s="1407">
        <v>9</v>
      </c>
      <c r="B14" s="1622" t="s">
        <v>2977</v>
      </c>
      <c r="C14" s="1638">
        <v>39455</v>
      </c>
      <c r="D14" s="1639">
        <v>24.764624654782828</v>
      </c>
      <c r="E14" s="1613"/>
      <c r="F14" s="1613"/>
      <c r="G14" s="1613"/>
      <c r="H14" s="1613"/>
    </row>
    <row r="15" spans="1:9" ht="13.8" thickBot="1">
      <c r="A15" s="1623"/>
      <c r="B15" s="1623" t="s">
        <v>2978</v>
      </c>
      <c r="C15" s="1640">
        <f>+SUM(C4:C14)</f>
        <v>119785</v>
      </c>
      <c r="D15" s="1639" t="s">
        <v>431</v>
      </c>
      <c r="E15" s="1613"/>
      <c r="F15" s="1613"/>
      <c r="G15" s="1613"/>
      <c r="H15" s="1613"/>
    </row>
    <row r="16" spans="1:9">
      <c r="A16" s="1624"/>
      <c r="B16" s="1625" t="s">
        <v>2961</v>
      </c>
      <c r="C16" s="1641">
        <v>38879</v>
      </c>
      <c r="D16" s="1642">
        <v>24.403088124529248</v>
      </c>
      <c r="E16" s="1613"/>
      <c r="F16" s="1613"/>
      <c r="G16" s="1613"/>
      <c r="H16" s="1613"/>
    </row>
    <row r="17" spans="1:8">
      <c r="A17" s="1616"/>
      <c r="B17" s="1626" t="s">
        <v>2979</v>
      </c>
      <c r="C17" s="1631">
        <v>1161</v>
      </c>
      <c r="D17" s="1546" t="s">
        <v>431</v>
      </c>
      <c r="E17" s="1613"/>
      <c r="F17" s="1627"/>
      <c r="G17" s="1613"/>
      <c r="H17" s="1613"/>
    </row>
    <row r="18" spans="1:8">
      <c r="A18" s="1616"/>
      <c r="B18" s="1626" t="s">
        <v>2980</v>
      </c>
      <c r="C18" s="1631">
        <v>1875</v>
      </c>
      <c r="D18" s="1546" t="s">
        <v>431</v>
      </c>
      <c r="E18" s="1613"/>
      <c r="F18" s="1613"/>
      <c r="G18" s="1613"/>
      <c r="H18" s="1613"/>
    </row>
    <row r="19" spans="1:8">
      <c r="A19" s="1616"/>
      <c r="B19" s="1620" t="s">
        <v>2981</v>
      </c>
      <c r="C19" s="1631">
        <v>656</v>
      </c>
      <c r="D19" s="1643">
        <v>0.41174993723324127</v>
      </c>
      <c r="E19" s="1613"/>
      <c r="F19" s="1613"/>
      <c r="G19" s="1613"/>
      <c r="H19" s="1613"/>
    </row>
    <row r="20" spans="1:8">
      <c r="A20" s="1613"/>
      <c r="B20" s="1628" t="s">
        <v>2982</v>
      </c>
      <c r="C20" s="1631">
        <f>+SUM(C15,C16,C19)</f>
        <v>159320</v>
      </c>
      <c r="D20" s="1643">
        <f>SUM(D4:D19)</f>
        <v>100</v>
      </c>
      <c r="E20" s="1613"/>
      <c r="F20" s="1613"/>
      <c r="G20" s="1613"/>
      <c r="H20" s="1613"/>
    </row>
    <row r="21" spans="1:8">
      <c r="A21" s="1613"/>
      <c r="B21" s="1628" t="s">
        <v>2983</v>
      </c>
      <c r="C21" s="1631">
        <v>3324</v>
      </c>
      <c r="D21" s="1643" t="s">
        <v>431</v>
      </c>
      <c r="E21" s="1613"/>
      <c r="F21" s="1613"/>
      <c r="G21" s="1613"/>
      <c r="H21" s="1613"/>
    </row>
    <row r="22" spans="1:8">
      <c r="A22" s="1613"/>
      <c r="B22" s="1620" t="s">
        <v>2984</v>
      </c>
      <c r="C22" s="1631">
        <v>5084</v>
      </c>
      <c r="D22" s="1546" t="s">
        <v>431</v>
      </c>
      <c r="E22" s="1613"/>
      <c r="F22" s="1613"/>
      <c r="G22" s="1613"/>
      <c r="H22" s="1613"/>
    </row>
    <row r="23" spans="1:8">
      <c r="A23" s="1613"/>
      <c r="B23" s="1620" t="s">
        <v>2985</v>
      </c>
      <c r="C23" s="1631">
        <v>1854</v>
      </c>
      <c r="D23" s="1546" t="s">
        <v>431</v>
      </c>
      <c r="E23" s="1613"/>
      <c r="F23" s="1613"/>
      <c r="G23" s="1613"/>
      <c r="H23" s="1613"/>
    </row>
    <row r="24" spans="1:8">
      <c r="A24" s="1613"/>
      <c r="B24" s="1620" t="s">
        <v>2972</v>
      </c>
      <c r="C24" s="1631">
        <v>1568</v>
      </c>
      <c r="D24" s="1546" t="s">
        <v>431</v>
      </c>
      <c r="E24" s="1613"/>
      <c r="F24" s="1613"/>
      <c r="G24" s="1613"/>
      <c r="H24" s="1613"/>
    </row>
    <row r="25" spans="1:8">
      <c r="A25" s="1613"/>
      <c r="B25" s="1620" t="s">
        <v>2986</v>
      </c>
      <c r="C25" s="1631">
        <v>753</v>
      </c>
      <c r="D25" s="1546" t="s">
        <v>431</v>
      </c>
      <c r="E25" s="1613"/>
      <c r="F25" s="1613"/>
      <c r="G25" s="1613"/>
      <c r="H25" s="1613"/>
    </row>
    <row r="26" spans="1:8" ht="13.8" thickBot="1">
      <c r="A26" s="1629"/>
      <c r="B26" s="1622" t="s">
        <v>2987</v>
      </c>
      <c r="C26" s="1638">
        <v>1781</v>
      </c>
      <c r="D26" s="1644" t="s">
        <v>431</v>
      </c>
      <c r="E26" s="1613"/>
      <c r="F26" s="1613"/>
      <c r="G26" s="1613"/>
      <c r="H26" s="1613"/>
    </row>
    <row r="27" spans="1:8" ht="13.8" thickBot="1">
      <c r="A27" s="1629"/>
      <c r="B27" s="1623" t="s">
        <v>2976</v>
      </c>
      <c r="C27" s="1640">
        <f>+SUM(C20:C26)</f>
        <v>173684</v>
      </c>
      <c r="D27" s="1645" t="s">
        <v>431</v>
      </c>
      <c r="E27" s="1613"/>
      <c r="F27" s="1613"/>
      <c r="G27" s="1613"/>
      <c r="H27" s="1613"/>
    </row>
    <row r="28" spans="1:8">
      <c r="A28" s="1613" t="s">
        <v>2941</v>
      </c>
      <c r="B28" s="1613"/>
      <c r="C28" s="1613"/>
      <c r="D28" s="1613"/>
      <c r="E28" s="1613"/>
      <c r="F28" s="1613"/>
      <c r="G28" s="1613"/>
      <c r="H28" s="1613"/>
    </row>
    <row r="31" spans="1:8">
      <c r="B31" s="1613"/>
      <c r="C31" s="1613"/>
    </row>
    <row r="35" spans="2:4">
      <c r="B35" s="1201"/>
    </row>
    <row r="36" spans="2:4">
      <c r="D36" s="1613"/>
    </row>
  </sheetData>
  <mergeCells count="1">
    <mergeCell ref="A2:B2"/>
  </mergeCells>
  <phoneticPr fontId="4"/>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8F83-998F-46A4-9A51-4A4F37AC536E}">
  <sheetPr codeName="Sheet48">
    <pageSetUpPr fitToPage="1"/>
  </sheetPr>
  <dimension ref="A1:L38"/>
  <sheetViews>
    <sheetView workbookViewId="0"/>
  </sheetViews>
  <sheetFormatPr defaultColWidth="9" defaultRowHeight="13.2"/>
  <cols>
    <col min="1" max="1" width="9.3984375" style="2" customWidth="1"/>
    <col min="2" max="11" width="7.09765625" style="2" customWidth="1"/>
    <col min="12" max="12" width="1.8984375" style="2" customWidth="1"/>
    <col min="13" max="13" width="3.69921875" style="2" customWidth="1"/>
    <col min="14" max="14" width="3.5" style="2" customWidth="1"/>
    <col min="15" max="15" width="10.19921875" style="2" customWidth="1"/>
    <col min="16" max="16384" width="9" style="2"/>
  </cols>
  <sheetData>
    <row r="1" spans="1:12" ht="30" customHeight="1" thickBot="1">
      <c r="A1" s="2155" t="s">
        <v>1040</v>
      </c>
      <c r="B1" s="2155"/>
      <c r="C1" s="2155"/>
      <c r="D1" s="2155"/>
      <c r="E1" s="2155"/>
      <c r="F1" s="2156"/>
    </row>
    <row r="2" spans="1:12" s="11" customFormat="1" ht="17.25" customHeight="1">
      <c r="A2" s="2590" t="s">
        <v>1041</v>
      </c>
      <c r="B2" s="2186" t="s">
        <v>1042</v>
      </c>
      <c r="C2" s="2187"/>
      <c r="D2" s="2187"/>
      <c r="E2" s="2180"/>
      <c r="F2" s="2184" t="s">
        <v>1043</v>
      </c>
      <c r="G2" s="2184"/>
      <c r="H2" s="2184"/>
      <c r="I2" s="2184"/>
      <c r="J2" s="2184"/>
      <c r="K2" s="2184"/>
    </row>
    <row r="3" spans="1:12" s="11" customFormat="1" ht="17.25" customHeight="1">
      <c r="A3" s="2591"/>
      <c r="B3" s="2189"/>
      <c r="C3" s="2196"/>
      <c r="D3" s="2196"/>
      <c r="E3" s="2182"/>
      <c r="F3" s="2593" t="s">
        <v>1044</v>
      </c>
      <c r="G3" s="2594"/>
      <c r="H3" s="2594"/>
      <c r="I3" s="2594"/>
      <c r="J3" s="2594"/>
      <c r="K3" s="2595" t="s">
        <v>1045</v>
      </c>
    </row>
    <row r="4" spans="1:12" s="11" customFormat="1" ht="46.5" customHeight="1">
      <c r="A4" s="2592"/>
      <c r="B4" s="660" t="s">
        <v>859</v>
      </c>
      <c r="C4" s="660" t="s">
        <v>1046</v>
      </c>
      <c r="D4" s="660" t="s">
        <v>1047</v>
      </c>
      <c r="E4" s="661" t="s">
        <v>1025</v>
      </c>
      <c r="F4" s="660" t="s">
        <v>1048</v>
      </c>
      <c r="G4" s="666" t="s">
        <v>1049</v>
      </c>
      <c r="H4" s="667" t="s">
        <v>1050</v>
      </c>
      <c r="I4" s="667" t="s">
        <v>1051</v>
      </c>
      <c r="J4" s="667" t="s">
        <v>1052</v>
      </c>
      <c r="K4" s="2558"/>
      <c r="L4" s="668"/>
    </row>
    <row r="5" spans="1:12" s="11" customFormat="1" ht="17.25" customHeight="1">
      <c r="A5" s="97"/>
      <c r="B5" s="98" t="s">
        <v>167</v>
      </c>
      <c r="C5" s="98" t="s">
        <v>167</v>
      </c>
      <c r="D5" s="98" t="s">
        <v>167</v>
      </c>
      <c r="E5" s="34" t="s">
        <v>167</v>
      </c>
      <c r="F5" s="98" t="s">
        <v>167</v>
      </c>
      <c r="G5" s="33" t="s">
        <v>167</v>
      </c>
      <c r="H5" s="33"/>
      <c r="I5" s="33" t="s">
        <v>167</v>
      </c>
      <c r="J5" s="33"/>
      <c r="K5" s="33" t="s">
        <v>167</v>
      </c>
      <c r="L5" s="36"/>
    </row>
    <row r="6" spans="1:12" s="11" customFormat="1" ht="17.25" customHeight="1">
      <c r="A6" s="669" t="s">
        <v>1053</v>
      </c>
      <c r="B6" s="670">
        <v>1425</v>
      </c>
      <c r="C6" s="671">
        <v>865</v>
      </c>
      <c r="D6" s="671">
        <v>6</v>
      </c>
      <c r="E6" s="672">
        <v>554</v>
      </c>
      <c r="F6" s="671" t="s">
        <v>1054</v>
      </c>
      <c r="G6" s="673" t="s">
        <v>1054</v>
      </c>
      <c r="H6" s="673" t="s">
        <v>1054</v>
      </c>
      <c r="I6" s="673" t="s">
        <v>1054</v>
      </c>
      <c r="J6" s="673" t="s">
        <v>1054</v>
      </c>
      <c r="K6" s="674">
        <v>129</v>
      </c>
      <c r="L6" s="36"/>
    </row>
    <row r="7" spans="1:12" s="11" customFormat="1" ht="17.25" customHeight="1">
      <c r="A7" s="669">
        <v>9</v>
      </c>
      <c r="B7" s="670">
        <v>1484</v>
      </c>
      <c r="C7" s="671">
        <v>966</v>
      </c>
      <c r="D7" s="671">
        <v>23</v>
      </c>
      <c r="E7" s="672">
        <v>495</v>
      </c>
      <c r="F7" s="671" t="s">
        <v>1054</v>
      </c>
      <c r="G7" s="673" t="s">
        <v>1054</v>
      </c>
      <c r="H7" s="673" t="s">
        <v>1054</v>
      </c>
      <c r="I7" s="673" t="s">
        <v>1054</v>
      </c>
      <c r="J7" s="673" t="s">
        <v>1054</v>
      </c>
      <c r="K7" s="674">
        <v>83</v>
      </c>
      <c r="L7" s="36"/>
    </row>
    <row r="8" spans="1:12" s="11" customFormat="1" ht="17.25" customHeight="1">
      <c r="A8" s="669">
        <v>10</v>
      </c>
      <c r="B8" s="670">
        <v>1385</v>
      </c>
      <c r="C8" s="671">
        <v>895</v>
      </c>
      <c r="D8" s="671">
        <v>8</v>
      </c>
      <c r="E8" s="672">
        <v>482</v>
      </c>
      <c r="F8" s="671" t="s">
        <v>1054</v>
      </c>
      <c r="G8" s="673" t="s">
        <v>1054</v>
      </c>
      <c r="H8" s="673" t="s">
        <v>1054</v>
      </c>
      <c r="I8" s="673" t="s">
        <v>1054</v>
      </c>
      <c r="J8" s="673" t="s">
        <v>1054</v>
      </c>
      <c r="K8" s="674">
        <v>73</v>
      </c>
      <c r="L8" s="36"/>
    </row>
    <row r="9" spans="1:12" s="11" customFormat="1" ht="17.25" customHeight="1">
      <c r="A9" s="669">
        <v>11</v>
      </c>
      <c r="B9" s="670">
        <v>1567</v>
      </c>
      <c r="C9" s="671">
        <v>929</v>
      </c>
      <c r="D9" s="671">
        <v>15</v>
      </c>
      <c r="E9" s="672">
        <v>623</v>
      </c>
      <c r="F9" s="671" t="s">
        <v>1054</v>
      </c>
      <c r="G9" s="673" t="s">
        <v>1054</v>
      </c>
      <c r="H9" s="673" t="s">
        <v>1054</v>
      </c>
      <c r="I9" s="673" t="s">
        <v>1054</v>
      </c>
      <c r="J9" s="673" t="s">
        <v>1054</v>
      </c>
      <c r="K9" s="674">
        <v>69</v>
      </c>
      <c r="L9" s="36"/>
    </row>
    <row r="10" spans="1:12" s="11" customFormat="1" ht="17.25" customHeight="1">
      <c r="A10" s="669">
        <v>12</v>
      </c>
      <c r="B10" s="670">
        <v>1608</v>
      </c>
      <c r="C10" s="671">
        <v>1026</v>
      </c>
      <c r="D10" s="671">
        <v>5</v>
      </c>
      <c r="E10" s="672">
        <v>577</v>
      </c>
      <c r="F10" s="671" t="s">
        <v>1055</v>
      </c>
      <c r="G10" s="673" t="s">
        <v>1055</v>
      </c>
      <c r="H10" s="673" t="s">
        <v>1055</v>
      </c>
      <c r="I10" s="673" t="s">
        <v>1055</v>
      </c>
      <c r="J10" s="673" t="s">
        <v>1055</v>
      </c>
      <c r="K10" s="674">
        <v>42</v>
      </c>
    </row>
    <row r="11" spans="1:12" s="11" customFormat="1" ht="17.25" customHeight="1">
      <c r="A11" s="669">
        <v>13</v>
      </c>
      <c r="B11" s="670">
        <v>1636</v>
      </c>
      <c r="C11" s="671">
        <v>1113</v>
      </c>
      <c r="D11" s="671">
        <v>5</v>
      </c>
      <c r="E11" s="672">
        <v>518</v>
      </c>
      <c r="F11" s="671" t="s">
        <v>1055</v>
      </c>
      <c r="G11" s="673" t="s">
        <v>1055</v>
      </c>
      <c r="H11" s="673" t="s">
        <v>1055</v>
      </c>
      <c r="I11" s="673" t="s">
        <v>1055</v>
      </c>
      <c r="J11" s="673" t="s">
        <v>1055</v>
      </c>
      <c r="K11" s="674">
        <v>65</v>
      </c>
    </row>
    <row r="12" spans="1:12" s="11" customFormat="1" ht="17.25" customHeight="1">
      <c r="A12" s="669">
        <v>14</v>
      </c>
      <c r="B12" s="670">
        <v>1886</v>
      </c>
      <c r="C12" s="671">
        <v>1164</v>
      </c>
      <c r="D12" s="671">
        <v>8</v>
      </c>
      <c r="E12" s="672">
        <v>714</v>
      </c>
      <c r="F12" s="671" t="s">
        <v>1055</v>
      </c>
      <c r="G12" s="673" t="s">
        <v>1055</v>
      </c>
      <c r="H12" s="673" t="s">
        <v>1055</v>
      </c>
      <c r="I12" s="673" t="s">
        <v>1055</v>
      </c>
      <c r="J12" s="673" t="s">
        <v>1055</v>
      </c>
      <c r="K12" s="674">
        <v>60</v>
      </c>
    </row>
    <row r="13" spans="1:12" s="11" customFormat="1" ht="17.25" customHeight="1">
      <c r="A13" s="669">
        <v>15</v>
      </c>
      <c r="B13" s="670">
        <v>1860</v>
      </c>
      <c r="C13" s="671">
        <v>1190</v>
      </c>
      <c r="D13" s="671">
        <v>6</v>
      </c>
      <c r="E13" s="672">
        <v>664</v>
      </c>
      <c r="F13" s="671" t="s">
        <v>1055</v>
      </c>
      <c r="G13" s="673" t="s">
        <v>1055</v>
      </c>
      <c r="H13" s="673" t="s">
        <v>1055</v>
      </c>
      <c r="I13" s="673" t="s">
        <v>1055</v>
      </c>
      <c r="J13" s="673" t="s">
        <v>1055</v>
      </c>
      <c r="K13" s="674">
        <v>49</v>
      </c>
    </row>
    <row r="14" spans="1:12" s="11" customFormat="1" ht="17.25" customHeight="1">
      <c r="A14" s="669">
        <v>16</v>
      </c>
      <c r="B14" s="670">
        <v>1803</v>
      </c>
      <c r="C14" s="671">
        <v>1122</v>
      </c>
      <c r="D14" s="671">
        <v>12</v>
      </c>
      <c r="E14" s="672">
        <v>669</v>
      </c>
      <c r="F14" s="671" t="s">
        <v>1055</v>
      </c>
      <c r="G14" s="673" t="s">
        <v>1055</v>
      </c>
      <c r="H14" s="673" t="s">
        <v>1055</v>
      </c>
      <c r="I14" s="673" t="s">
        <v>1055</v>
      </c>
      <c r="J14" s="673" t="s">
        <v>1055</v>
      </c>
      <c r="K14" s="674">
        <v>48</v>
      </c>
    </row>
    <row r="15" spans="1:12" s="11" customFormat="1" ht="17.25" customHeight="1">
      <c r="A15" s="669">
        <v>17</v>
      </c>
      <c r="B15" s="670">
        <v>2063</v>
      </c>
      <c r="C15" s="671">
        <v>1145</v>
      </c>
      <c r="D15" s="671">
        <v>14</v>
      </c>
      <c r="E15" s="672">
        <v>904</v>
      </c>
      <c r="F15" s="671" t="s">
        <v>1055</v>
      </c>
      <c r="G15" s="673" t="s">
        <v>1055</v>
      </c>
      <c r="H15" s="673" t="s">
        <v>1055</v>
      </c>
      <c r="I15" s="673" t="s">
        <v>1055</v>
      </c>
      <c r="J15" s="673" t="s">
        <v>1055</v>
      </c>
      <c r="K15" s="674">
        <v>74</v>
      </c>
    </row>
    <row r="16" spans="1:12" s="11" customFormat="1" ht="17.25" customHeight="1">
      <c r="A16" s="669">
        <v>18</v>
      </c>
      <c r="B16" s="670">
        <v>2340</v>
      </c>
      <c r="C16" s="671">
        <v>1201</v>
      </c>
      <c r="D16" s="671">
        <v>19</v>
      </c>
      <c r="E16" s="672">
        <v>1120</v>
      </c>
      <c r="F16" s="671">
        <v>1168</v>
      </c>
      <c r="G16" s="673">
        <v>861</v>
      </c>
      <c r="H16" s="673">
        <v>33</v>
      </c>
      <c r="I16" s="673">
        <v>131</v>
      </c>
      <c r="J16" s="673">
        <v>19</v>
      </c>
      <c r="K16" s="674">
        <v>128</v>
      </c>
    </row>
    <row r="17" spans="1:11" s="11" customFormat="1" ht="17.25" customHeight="1">
      <c r="A17" s="669">
        <v>19</v>
      </c>
      <c r="B17" s="670">
        <v>2111</v>
      </c>
      <c r="C17" s="671">
        <v>1177</v>
      </c>
      <c r="D17" s="671">
        <v>2</v>
      </c>
      <c r="E17" s="672">
        <v>932</v>
      </c>
      <c r="F17" s="671">
        <v>1155</v>
      </c>
      <c r="G17" s="673">
        <v>777</v>
      </c>
      <c r="H17" s="673">
        <v>22</v>
      </c>
      <c r="I17" s="673">
        <v>79</v>
      </c>
      <c r="J17" s="673">
        <v>2</v>
      </c>
      <c r="K17" s="674">
        <v>76</v>
      </c>
    </row>
    <row r="18" spans="1:11" s="11" customFormat="1" ht="17.25" customHeight="1">
      <c r="A18" s="669">
        <v>20</v>
      </c>
      <c r="B18" s="670">
        <v>1963</v>
      </c>
      <c r="C18" s="671">
        <v>1118</v>
      </c>
      <c r="D18" s="671">
        <v>8</v>
      </c>
      <c r="E18" s="672">
        <v>837</v>
      </c>
      <c r="F18" s="671">
        <v>1079</v>
      </c>
      <c r="G18" s="673">
        <v>698</v>
      </c>
      <c r="H18" s="673">
        <v>39</v>
      </c>
      <c r="I18" s="673">
        <v>83</v>
      </c>
      <c r="J18" s="673">
        <v>8</v>
      </c>
      <c r="K18" s="674">
        <v>56</v>
      </c>
    </row>
    <row r="19" spans="1:11" s="11" customFormat="1" ht="17.25" customHeight="1">
      <c r="A19" s="669">
        <v>21</v>
      </c>
      <c r="B19" s="670">
        <v>1987</v>
      </c>
      <c r="C19" s="671">
        <v>1123</v>
      </c>
      <c r="D19" s="671">
        <v>6</v>
      </c>
      <c r="E19" s="672">
        <v>858</v>
      </c>
      <c r="F19" s="671">
        <v>1097</v>
      </c>
      <c r="G19" s="673">
        <v>663</v>
      </c>
      <c r="H19" s="673">
        <v>26</v>
      </c>
      <c r="I19" s="673">
        <v>98</v>
      </c>
      <c r="J19" s="673">
        <v>6</v>
      </c>
      <c r="K19" s="674">
        <v>97</v>
      </c>
    </row>
    <row r="20" spans="1:11" s="11" customFormat="1" ht="17.25" customHeight="1">
      <c r="A20" s="669">
        <v>22</v>
      </c>
      <c r="B20" s="670">
        <v>1838</v>
      </c>
      <c r="C20" s="671">
        <v>999</v>
      </c>
      <c r="D20" s="671">
        <v>33</v>
      </c>
      <c r="E20" s="672">
        <v>806</v>
      </c>
      <c r="F20" s="671">
        <v>969</v>
      </c>
      <c r="G20" s="673">
        <v>596</v>
      </c>
      <c r="H20" s="673">
        <v>30</v>
      </c>
      <c r="I20" s="673">
        <v>137</v>
      </c>
      <c r="J20" s="673">
        <v>33</v>
      </c>
      <c r="K20" s="674">
        <v>73</v>
      </c>
    </row>
    <row r="21" spans="1:11" s="11" customFormat="1" ht="17.25" customHeight="1">
      <c r="A21" s="669">
        <v>23</v>
      </c>
      <c r="B21" s="670">
        <v>1893</v>
      </c>
      <c r="C21" s="671">
        <v>1078</v>
      </c>
      <c r="D21" s="671">
        <v>27</v>
      </c>
      <c r="E21" s="672">
        <v>788</v>
      </c>
      <c r="F21" s="671">
        <v>1049</v>
      </c>
      <c r="G21" s="673">
        <v>555</v>
      </c>
      <c r="H21" s="673">
        <v>29</v>
      </c>
      <c r="I21" s="673">
        <v>148</v>
      </c>
      <c r="J21" s="673">
        <v>27</v>
      </c>
      <c r="K21" s="674">
        <v>85</v>
      </c>
    </row>
    <row r="22" spans="1:11" s="11" customFormat="1" ht="17.25" customHeight="1">
      <c r="A22" s="669">
        <v>24</v>
      </c>
      <c r="B22" s="670">
        <v>1810</v>
      </c>
      <c r="C22" s="671">
        <v>961</v>
      </c>
      <c r="D22" s="671">
        <v>2</v>
      </c>
      <c r="E22" s="672">
        <v>847</v>
      </c>
      <c r="F22" s="671">
        <v>946</v>
      </c>
      <c r="G22" s="673">
        <v>626</v>
      </c>
      <c r="H22" s="673">
        <v>15</v>
      </c>
      <c r="I22" s="673">
        <v>166</v>
      </c>
      <c r="J22" s="673">
        <v>2</v>
      </c>
      <c r="K22" s="674">
        <v>55</v>
      </c>
    </row>
    <row r="23" spans="1:11" s="11" customFormat="1" ht="17.25" customHeight="1">
      <c r="A23" s="669">
        <v>25</v>
      </c>
      <c r="B23" s="670">
        <v>1817</v>
      </c>
      <c r="C23" s="671">
        <v>999</v>
      </c>
      <c r="D23" s="671">
        <v>1</v>
      </c>
      <c r="E23" s="672">
        <v>817</v>
      </c>
      <c r="F23" s="671">
        <v>982</v>
      </c>
      <c r="G23" s="673">
        <v>655</v>
      </c>
      <c r="H23" s="673">
        <v>17</v>
      </c>
      <c r="I23" s="673">
        <v>124</v>
      </c>
      <c r="J23" s="673">
        <v>1</v>
      </c>
      <c r="K23" s="674">
        <v>38</v>
      </c>
    </row>
    <row r="24" spans="1:11" s="11" customFormat="1" ht="17.25" customHeight="1">
      <c r="A24" s="669">
        <v>26</v>
      </c>
      <c r="B24" s="675">
        <v>1826</v>
      </c>
      <c r="C24" s="676">
        <v>998</v>
      </c>
      <c r="D24" s="676">
        <v>3</v>
      </c>
      <c r="E24" s="677">
        <v>825</v>
      </c>
      <c r="F24" s="676">
        <v>981</v>
      </c>
      <c r="G24" s="678">
        <v>651</v>
      </c>
      <c r="H24" s="678">
        <v>17</v>
      </c>
      <c r="I24" s="678">
        <v>120</v>
      </c>
      <c r="J24" s="678">
        <v>3</v>
      </c>
      <c r="K24" s="679">
        <v>54</v>
      </c>
    </row>
    <row r="25" spans="1:11" s="11" customFormat="1" ht="17.25" customHeight="1">
      <c r="A25" s="669">
        <v>27</v>
      </c>
      <c r="B25" s="675">
        <v>1847</v>
      </c>
      <c r="C25" s="676">
        <v>928</v>
      </c>
      <c r="D25" s="676">
        <v>1</v>
      </c>
      <c r="E25" s="677">
        <v>918</v>
      </c>
      <c r="F25" s="676">
        <v>914</v>
      </c>
      <c r="G25" s="678">
        <v>699</v>
      </c>
      <c r="H25" s="678">
        <v>14</v>
      </c>
      <c r="I25" s="678">
        <v>162</v>
      </c>
      <c r="J25" s="678">
        <v>1</v>
      </c>
      <c r="K25" s="679">
        <v>57</v>
      </c>
    </row>
    <row r="26" spans="1:11" s="11" customFormat="1" ht="17.25" customHeight="1">
      <c r="A26" s="680">
        <v>28</v>
      </c>
      <c r="B26" s="675">
        <v>1931</v>
      </c>
      <c r="C26" s="676">
        <v>996</v>
      </c>
      <c r="D26" s="676">
        <v>1</v>
      </c>
      <c r="E26" s="677">
        <v>934</v>
      </c>
      <c r="F26" s="676">
        <v>974</v>
      </c>
      <c r="G26" s="678">
        <v>762</v>
      </c>
      <c r="H26" s="678">
        <v>22</v>
      </c>
      <c r="I26" s="678">
        <v>117</v>
      </c>
      <c r="J26" s="678">
        <v>1</v>
      </c>
      <c r="K26" s="679">
        <v>55</v>
      </c>
    </row>
    <row r="27" spans="1:11" s="11" customFormat="1" ht="17.25" customHeight="1">
      <c r="A27" s="680">
        <v>29</v>
      </c>
      <c r="B27" s="675">
        <v>2001</v>
      </c>
      <c r="C27" s="676">
        <v>1030</v>
      </c>
      <c r="D27" s="676">
        <v>14</v>
      </c>
      <c r="E27" s="677">
        <v>957</v>
      </c>
      <c r="F27" s="676">
        <v>1008</v>
      </c>
      <c r="G27" s="678">
        <v>777</v>
      </c>
      <c r="H27" s="678">
        <v>22</v>
      </c>
      <c r="I27" s="678">
        <v>113</v>
      </c>
      <c r="J27" s="678">
        <v>14</v>
      </c>
      <c r="K27" s="679">
        <v>67</v>
      </c>
    </row>
    <row r="28" spans="1:11" s="11" customFormat="1" ht="17.25" customHeight="1">
      <c r="A28" s="680">
        <v>30</v>
      </c>
      <c r="B28" s="675">
        <v>1859</v>
      </c>
      <c r="C28" s="676">
        <v>957</v>
      </c>
      <c r="D28" s="676">
        <v>6</v>
      </c>
      <c r="E28" s="677">
        <v>896</v>
      </c>
      <c r="F28" s="676">
        <v>933</v>
      </c>
      <c r="G28" s="678">
        <v>675</v>
      </c>
      <c r="H28" s="678">
        <v>24</v>
      </c>
      <c r="I28" s="678">
        <v>153</v>
      </c>
      <c r="J28" s="678">
        <v>6</v>
      </c>
      <c r="K28" s="679">
        <v>68</v>
      </c>
    </row>
    <row r="29" spans="1:11" s="11" customFormat="1" ht="17.25" customHeight="1">
      <c r="A29" s="680">
        <v>31</v>
      </c>
      <c r="B29" s="675">
        <v>1584</v>
      </c>
      <c r="C29" s="676">
        <v>922</v>
      </c>
      <c r="D29" s="676">
        <v>14</v>
      </c>
      <c r="E29" s="677">
        <v>648</v>
      </c>
      <c r="F29" s="676">
        <v>903</v>
      </c>
      <c r="G29" s="678">
        <v>446</v>
      </c>
      <c r="H29" s="678">
        <v>19</v>
      </c>
      <c r="I29" s="678">
        <v>137</v>
      </c>
      <c r="J29" s="678">
        <v>14</v>
      </c>
      <c r="K29" s="679">
        <v>65</v>
      </c>
    </row>
    <row r="30" spans="1:11" s="11" customFormat="1" ht="17.25" customHeight="1">
      <c r="A30" s="680" t="s">
        <v>1059</v>
      </c>
      <c r="B30" s="675" t="s">
        <v>431</v>
      </c>
      <c r="C30" s="676" t="s">
        <v>431</v>
      </c>
      <c r="D30" s="676" t="s">
        <v>431</v>
      </c>
      <c r="E30" s="677" t="s">
        <v>431</v>
      </c>
      <c r="F30" s="676" t="s">
        <v>431</v>
      </c>
      <c r="G30" s="678" t="s">
        <v>431</v>
      </c>
      <c r="H30" s="678" t="s">
        <v>431</v>
      </c>
      <c r="I30" s="678" t="s">
        <v>431</v>
      </c>
      <c r="J30" s="678" t="s">
        <v>431</v>
      </c>
      <c r="K30" s="679" t="s">
        <v>431</v>
      </c>
    </row>
    <row r="31" spans="1:11" s="11" customFormat="1" ht="17.25" customHeight="1">
      <c r="A31" s="680">
        <v>3</v>
      </c>
      <c r="B31" s="675">
        <v>1108</v>
      </c>
      <c r="C31" s="676">
        <v>587</v>
      </c>
      <c r="D31" s="676">
        <v>1</v>
      </c>
      <c r="E31" s="677">
        <v>520</v>
      </c>
      <c r="F31" s="676">
        <v>565</v>
      </c>
      <c r="G31" s="678">
        <v>385</v>
      </c>
      <c r="H31" s="678">
        <v>22</v>
      </c>
      <c r="I31" s="678">
        <v>118</v>
      </c>
      <c r="J31" s="678">
        <v>1</v>
      </c>
      <c r="K31" s="679">
        <v>17</v>
      </c>
    </row>
    <row r="32" spans="1:11" s="11" customFormat="1" ht="17.25" customHeight="1">
      <c r="A32" s="680">
        <v>4</v>
      </c>
      <c r="B32" s="675">
        <v>863</v>
      </c>
      <c r="C32" s="676">
        <v>512</v>
      </c>
      <c r="D32" s="676">
        <v>0</v>
      </c>
      <c r="E32" s="677">
        <v>351</v>
      </c>
      <c r="F32" s="676">
        <v>503</v>
      </c>
      <c r="G32" s="678">
        <v>255</v>
      </c>
      <c r="H32" s="678">
        <v>9</v>
      </c>
      <c r="I32" s="678">
        <v>84</v>
      </c>
      <c r="J32" s="678">
        <v>0</v>
      </c>
      <c r="K32" s="679">
        <v>12</v>
      </c>
    </row>
    <row r="33" spans="1:11" s="11" customFormat="1" ht="17.25" customHeight="1">
      <c r="A33" s="680">
        <v>5</v>
      </c>
      <c r="B33" s="675">
        <v>1079</v>
      </c>
      <c r="C33" s="676">
        <v>635</v>
      </c>
      <c r="D33" s="676">
        <v>9</v>
      </c>
      <c r="E33" s="677">
        <v>435</v>
      </c>
      <c r="F33" s="676">
        <v>630</v>
      </c>
      <c r="G33" s="678">
        <v>318</v>
      </c>
      <c r="H33" s="678">
        <v>5</v>
      </c>
      <c r="I33" s="678">
        <v>91</v>
      </c>
      <c r="J33" s="678">
        <v>9</v>
      </c>
      <c r="K33" s="679">
        <v>26</v>
      </c>
    </row>
    <row r="34" spans="1:11" s="171" customFormat="1" ht="17.25" customHeight="1" thickBot="1">
      <c r="A34" s="1125"/>
      <c r="B34" s="1126"/>
      <c r="C34" s="1127"/>
      <c r="D34" s="1127"/>
      <c r="E34" s="1128"/>
      <c r="F34" s="1127"/>
      <c r="G34" s="1129"/>
      <c r="H34" s="1129"/>
      <c r="I34" s="1129"/>
      <c r="J34" s="1129"/>
      <c r="K34" s="1130"/>
    </row>
    <row r="35" spans="1:11" s="11" customFormat="1" ht="17.25" customHeight="1">
      <c r="A35" s="11" t="s">
        <v>1056</v>
      </c>
    </row>
    <row r="36" spans="1:11" s="11" customFormat="1" ht="17.25" customHeight="1">
      <c r="A36" s="11" t="s">
        <v>1057</v>
      </c>
      <c r="B36" s="238"/>
      <c r="C36" s="238"/>
      <c r="D36" s="238"/>
      <c r="E36" s="238"/>
      <c r="F36" s="238"/>
    </row>
    <row r="37" spans="1:11" s="11" customFormat="1" ht="17.25" customHeight="1">
      <c r="A37" s="134" t="s">
        <v>1058</v>
      </c>
    </row>
    <row r="38" spans="1:11" ht="17.25" customHeight="1"/>
  </sheetData>
  <mergeCells count="5">
    <mergeCell ref="A2:A4"/>
    <mergeCell ref="B2:E3"/>
    <mergeCell ref="F2:K2"/>
    <mergeCell ref="F3:J3"/>
    <mergeCell ref="K3:K4"/>
  </mergeCells>
  <phoneticPr fontId="4"/>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1812-64EA-4031-B759-3B873EC5ABC2}">
  <sheetPr codeName="Sheet49">
    <pageSetUpPr fitToPage="1"/>
  </sheetPr>
  <dimension ref="A1:N33"/>
  <sheetViews>
    <sheetView workbookViewId="0">
      <pane ySplit="4" topLeftCell="A5" activePane="bottomLeft" state="frozen"/>
      <selection pane="bottomLeft"/>
    </sheetView>
  </sheetViews>
  <sheetFormatPr defaultColWidth="9" defaultRowHeight="13.2"/>
  <cols>
    <col min="1" max="1" width="8.69921875" style="2" customWidth="1"/>
    <col min="2" max="4" width="6.59765625" style="2" customWidth="1"/>
    <col min="5" max="5" width="7.09765625" style="2" customWidth="1"/>
    <col min="6" max="7" width="6.59765625" style="2" customWidth="1"/>
    <col min="8" max="8" width="7.09765625" style="2" customWidth="1"/>
    <col min="9" max="10" width="6.59765625" style="2" customWidth="1"/>
    <col min="11" max="11" width="7.09765625" style="2" customWidth="1"/>
    <col min="12" max="12" width="9.19921875" style="2" customWidth="1"/>
    <col min="13" max="16384" width="9" style="2"/>
  </cols>
  <sheetData>
    <row r="1" spans="1:14" ht="30" customHeight="1" thickBot="1">
      <c r="A1" s="259" t="s">
        <v>1060</v>
      </c>
    </row>
    <row r="2" spans="1:14" ht="19.5" customHeight="1">
      <c r="A2" s="2180" t="s">
        <v>1061</v>
      </c>
      <c r="B2" s="2183" t="s">
        <v>1062</v>
      </c>
      <c r="C2" s="2184"/>
      <c r="D2" s="2184"/>
      <c r="E2" s="2185"/>
      <c r="F2" s="2183" t="s">
        <v>1063</v>
      </c>
      <c r="G2" s="2184"/>
      <c r="H2" s="2185"/>
      <c r="I2" s="2183" t="s">
        <v>1064</v>
      </c>
      <c r="J2" s="2184"/>
      <c r="K2" s="2185"/>
      <c r="L2" s="2208" t="s">
        <v>1065</v>
      </c>
    </row>
    <row r="3" spans="1:14" ht="19.5" customHeight="1">
      <c r="A3" s="2181"/>
      <c r="B3" s="245" t="s">
        <v>279</v>
      </c>
      <c r="C3" s="245" t="s">
        <v>1066</v>
      </c>
      <c r="D3" s="256" t="s">
        <v>1067</v>
      </c>
      <c r="E3" s="256" t="s">
        <v>1068</v>
      </c>
      <c r="F3" s="245" t="s">
        <v>1066</v>
      </c>
      <c r="G3" s="245" t="s">
        <v>1067</v>
      </c>
      <c r="H3" s="245" t="s">
        <v>1068</v>
      </c>
      <c r="I3" s="245" t="s">
        <v>1066</v>
      </c>
      <c r="J3" s="243" t="s">
        <v>1067</v>
      </c>
      <c r="K3" s="243" t="s">
        <v>1068</v>
      </c>
      <c r="L3" s="2188"/>
    </row>
    <row r="4" spans="1:14" ht="19.5" customHeight="1">
      <c r="A4" s="243"/>
      <c r="B4" s="86" t="s">
        <v>167</v>
      </c>
      <c r="C4" s="86" t="s">
        <v>167</v>
      </c>
      <c r="D4" s="86" t="s">
        <v>167</v>
      </c>
      <c r="E4" s="86" t="s">
        <v>167</v>
      </c>
      <c r="F4" s="86" t="s">
        <v>167</v>
      </c>
      <c r="G4" s="86" t="s">
        <v>167</v>
      </c>
      <c r="H4" s="86" t="s">
        <v>167</v>
      </c>
      <c r="I4" s="86" t="s">
        <v>167</v>
      </c>
      <c r="J4" s="35" t="s">
        <v>167</v>
      </c>
      <c r="K4" s="35" t="s">
        <v>167</v>
      </c>
      <c r="L4" s="38" t="s">
        <v>167</v>
      </c>
    </row>
    <row r="5" spans="1:14" ht="19.5" customHeight="1">
      <c r="A5" s="247" t="s">
        <v>1069</v>
      </c>
      <c r="B5" s="681">
        <v>26431</v>
      </c>
      <c r="C5" s="681">
        <v>21877</v>
      </c>
      <c r="D5" s="682">
        <v>1320</v>
      </c>
      <c r="E5" s="682">
        <v>3234</v>
      </c>
      <c r="F5" s="681">
        <v>19693</v>
      </c>
      <c r="G5" s="682">
        <v>535</v>
      </c>
      <c r="H5" s="682">
        <v>2152</v>
      </c>
      <c r="I5" s="681">
        <v>2184</v>
      </c>
      <c r="J5" s="683">
        <v>785</v>
      </c>
      <c r="K5" s="683">
        <v>1082</v>
      </c>
      <c r="L5" s="684">
        <v>1891</v>
      </c>
    </row>
    <row r="6" spans="1:14" ht="19.5" customHeight="1">
      <c r="A6" s="247">
        <v>16</v>
      </c>
      <c r="B6" s="681">
        <v>20234</v>
      </c>
      <c r="C6" s="681">
        <v>17539</v>
      </c>
      <c r="D6" s="682">
        <v>978</v>
      </c>
      <c r="E6" s="682">
        <v>1717</v>
      </c>
      <c r="F6" s="681">
        <v>14664</v>
      </c>
      <c r="G6" s="682">
        <v>376</v>
      </c>
      <c r="H6" s="682">
        <v>1073</v>
      </c>
      <c r="I6" s="681">
        <v>2875</v>
      </c>
      <c r="J6" s="683">
        <v>602</v>
      </c>
      <c r="K6" s="683">
        <v>644</v>
      </c>
      <c r="L6" s="684">
        <v>1317</v>
      </c>
    </row>
    <row r="7" spans="1:14" ht="19.5" customHeight="1">
      <c r="A7" s="247">
        <v>17</v>
      </c>
      <c r="B7" s="681">
        <v>17666</v>
      </c>
      <c r="C7" s="681">
        <v>15203</v>
      </c>
      <c r="D7" s="682">
        <v>905</v>
      </c>
      <c r="E7" s="682">
        <v>1558</v>
      </c>
      <c r="F7" s="681">
        <v>12065</v>
      </c>
      <c r="G7" s="682">
        <v>213</v>
      </c>
      <c r="H7" s="682">
        <v>630</v>
      </c>
      <c r="I7" s="681">
        <v>3138</v>
      </c>
      <c r="J7" s="683">
        <v>692</v>
      </c>
      <c r="K7" s="683">
        <v>928</v>
      </c>
      <c r="L7" s="684">
        <v>1599</v>
      </c>
    </row>
    <row r="8" spans="1:14" ht="19.5" customHeight="1">
      <c r="A8" s="247">
        <v>18</v>
      </c>
      <c r="B8" s="681">
        <v>20688</v>
      </c>
      <c r="C8" s="681">
        <v>17176</v>
      </c>
      <c r="D8" s="682">
        <v>680</v>
      </c>
      <c r="E8" s="682">
        <v>2832</v>
      </c>
      <c r="F8" s="681">
        <v>14056</v>
      </c>
      <c r="G8" s="682">
        <v>135</v>
      </c>
      <c r="H8" s="682">
        <v>996</v>
      </c>
      <c r="I8" s="681">
        <v>3120</v>
      </c>
      <c r="J8" s="683">
        <v>545</v>
      </c>
      <c r="K8" s="683">
        <v>1836</v>
      </c>
      <c r="L8" s="684">
        <v>2675</v>
      </c>
    </row>
    <row r="9" spans="1:14" ht="19.5" customHeight="1">
      <c r="A9" s="247">
        <v>19</v>
      </c>
      <c r="B9" s="681">
        <v>15698</v>
      </c>
      <c r="C9" s="681">
        <v>13392</v>
      </c>
      <c r="D9" s="682">
        <v>527</v>
      </c>
      <c r="E9" s="682">
        <v>1779</v>
      </c>
      <c r="F9" s="681">
        <v>10991</v>
      </c>
      <c r="G9" s="682">
        <v>120</v>
      </c>
      <c r="H9" s="682">
        <v>742</v>
      </c>
      <c r="I9" s="681">
        <v>2401</v>
      </c>
      <c r="J9" s="683">
        <v>407</v>
      </c>
      <c r="K9" s="683">
        <v>1037</v>
      </c>
      <c r="L9" s="684">
        <v>1874</v>
      </c>
    </row>
    <row r="10" spans="1:14" ht="19.5" customHeight="1">
      <c r="A10" s="247">
        <v>20</v>
      </c>
      <c r="B10" s="681">
        <v>16190</v>
      </c>
      <c r="C10" s="681">
        <v>14298</v>
      </c>
      <c r="D10" s="682">
        <v>511</v>
      </c>
      <c r="E10" s="682">
        <v>1381</v>
      </c>
      <c r="F10" s="681">
        <v>11532</v>
      </c>
      <c r="G10" s="682">
        <v>130</v>
      </c>
      <c r="H10" s="682">
        <v>803</v>
      </c>
      <c r="I10" s="681">
        <v>2766</v>
      </c>
      <c r="J10" s="683">
        <v>381</v>
      </c>
      <c r="K10" s="683">
        <v>578</v>
      </c>
      <c r="L10" s="684">
        <v>2325</v>
      </c>
    </row>
    <row r="11" spans="1:14" ht="19.5" customHeight="1">
      <c r="A11" s="247">
        <v>21</v>
      </c>
      <c r="B11" s="681">
        <v>16287</v>
      </c>
      <c r="C11" s="681">
        <v>14324</v>
      </c>
      <c r="D11" s="682">
        <v>161</v>
      </c>
      <c r="E11" s="682">
        <v>1802</v>
      </c>
      <c r="F11" s="681">
        <v>11269</v>
      </c>
      <c r="G11" s="682">
        <v>100</v>
      </c>
      <c r="H11" s="682">
        <v>704</v>
      </c>
      <c r="I11" s="681">
        <v>3055</v>
      </c>
      <c r="J11" s="683">
        <v>61</v>
      </c>
      <c r="K11" s="683">
        <v>1098</v>
      </c>
      <c r="L11" s="684">
        <v>1655</v>
      </c>
    </row>
    <row r="12" spans="1:14" ht="19.5" customHeight="1">
      <c r="A12" s="247">
        <v>22</v>
      </c>
      <c r="B12" s="681">
        <v>13873</v>
      </c>
      <c r="C12" s="681">
        <v>12243</v>
      </c>
      <c r="D12" s="682">
        <v>569</v>
      </c>
      <c r="E12" s="682">
        <v>1061</v>
      </c>
      <c r="F12" s="681">
        <v>9578</v>
      </c>
      <c r="G12" s="682">
        <v>103</v>
      </c>
      <c r="H12" s="682">
        <v>594</v>
      </c>
      <c r="I12" s="681">
        <v>2665</v>
      </c>
      <c r="J12" s="683">
        <v>466</v>
      </c>
      <c r="K12" s="683">
        <v>467</v>
      </c>
      <c r="L12" s="684">
        <v>1274</v>
      </c>
    </row>
    <row r="13" spans="1:14" ht="19.5" customHeight="1">
      <c r="A13" s="685">
        <v>23</v>
      </c>
      <c r="B13" s="691">
        <v>18045</v>
      </c>
      <c r="C13" s="692">
        <v>15339</v>
      </c>
      <c r="D13" s="693">
        <v>455</v>
      </c>
      <c r="E13" s="693">
        <v>2251</v>
      </c>
      <c r="F13" s="692">
        <v>12376</v>
      </c>
      <c r="G13" s="693">
        <v>127</v>
      </c>
      <c r="H13" s="693">
        <v>855</v>
      </c>
      <c r="I13" s="692">
        <v>2963</v>
      </c>
      <c r="J13" s="693">
        <v>328</v>
      </c>
      <c r="K13" s="693">
        <v>1396</v>
      </c>
      <c r="L13" s="694">
        <v>2988</v>
      </c>
      <c r="N13" s="689"/>
    </row>
    <row r="14" spans="1:14" ht="19.5" customHeight="1">
      <c r="A14" s="685">
        <v>24</v>
      </c>
      <c r="B14" s="690">
        <v>14001</v>
      </c>
      <c r="C14" s="687">
        <v>12162</v>
      </c>
      <c r="D14" s="686">
        <v>642</v>
      </c>
      <c r="E14" s="686">
        <v>1227</v>
      </c>
      <c r="F14" s="687">
        <v>9818</v>
      </c>
      <c r="G14" s="686">
        <v>144</v>
      </c>
      <c r="H14" s="686">
        <v>640</v>
      </c>
      <c r="I14" s="687">
        <v>2344</v>
      </c>
      <c r="J14" s="686">
        <v>498</v>
      </c>
      <c r="K14" s="686">
        <v>587</v>
      </c>
      <c r="L14" s="688">
        <v>2132</v>
      </c>
      <c r="N14" s="689"/>
    </row>
    <row r="15" spans="1:14" ht="19.5" customHeight="1">
      <c r="A15" s="685">
        <v>25</v>
      </c>
      <c r="B15" s="690">
        <v>10672</v>
      </c>
      <c r="C15" s="687">
        <v>9558</v>
      </c>
      <c r="D15" s="686">
        <v>239</v>
      </c>
      <c r="E15" s="686">
        <v>875</v>
      </c>
      <c r="F15" s="687">
        <v>7550</v>
      </c>
      <c r="G15" s="686">
        <v>97</v>
      </c>
      <c r="H15" s="686">
        <v>522</v>
      </c>
      <c r="I15" s="687">
        <v>2008</v>
      </c>
      <c r="J15" s="686">
        <v>142</v>
      </c>
      <c r="K15" s="686">
        <v>353</v>
      </c>
      <c r="L15" s="688">
        <v>1565</v>
      </c>
      <c r="N15" s="689"/>
    </row>
    <row r="16" spans="1:14" ht="19.5" customHeight="1">
      <c r="A16" s="685">
        <v>26</v>
      </c>
      <c r="B16" s="690">
        <v>17432</v>
      </c>
      <c r="C16" s="687">
        <v>15395</v>
      </c>
      <c r="D16" s="686">
        <v>774</v>
      </c>
      <c r="E16" s="686">
        <v>1263</v>
      </c>
      <c r="F16" s="687">
        <v>12249</v>
      </c>
      <c r="G16" s="686">
        <v>119</v>
      </c>
      <c r="H16" s="686">
        <v>893</v>
      </c>
      <c r="I16" s="687">
        <v>3146</v>
      </c>
      <c r="J16" s="686">
        <v>655</v>
      </c>
      <c r="K16" s="686">
        <v>370</v>
      </c>
      <c r="L16" s="688">
        <v>3487</v>
      </c>
      <c r="N16" s="689"/>
    </row>
    <row r="17" spans="1:14" ht="19.5" customHeight="1">
      <c r="A17" s="685">
        <v>27</v>
      </c>
      <c r="B17" s="690">
        <v>15106</v>
      </c>
      <c r="C17" s="687">
        <v>13156</v>
      </c>
      <c r="D17" s="686">
        <v>545</v>
      </c>
      <c r="E17" s="686">
        <v>1405</v>
      </c>
      <c r="F17" s="687">
        <v>10427</v>
      </c>
      <c r="G17" s="686">
        <v>101</v>
      </c>
      <c r="H17" s="686">
        <v>795</v>
      </c>
      <c r="I17" s="687">
        <v>2729</v>
      </c>
      <c r="J17" s="686">
        <v>444</v>
      </c>
      <c r="K17" s="686">
        <v>610</v>
      </c>
      <c r="L17" s="688">
        <v>3136</v>
      </c>
      <c r="N17" s="689"/>
    </row>
    <row r="18" spans="1:14" ht="19.5" customHeight="1">
      <c r="A18" s="685">
        <v>28</v>
      </c>
      <c r="B18" s="690">
        <v>13996</v>
      </c>
      <c r="C18" s="687">
        <v>12216</v>
      </c>
      <c r="D18" s="686">
        <v>531</v>
      </c>
      <c r="E18" s="686">
        <v>1249</v>
      </c>
      <c r="F18" s="687">
        <v>9774</v>
      </c>
      <c r="G18" s="686">
        <v>98</v>
      </c>
      <c r="H18" s="686">
        <v>709</v>
      </c>
      <c r="I18" s="687">
        <v>2442</v>
      </c>
      <c r="J18" s="686">
        <v>433</v>
      </c>
      <c r="K18" s="686">
        <v>540</v>
      </c>
      <c r="L18" s="688">
        <v>2894</v>
      </c>
      <c r="N18" s="689"/>
    </row>
    <row r="19" spans="1:14" ht="19.5" customHeight="1">
      <c r="A19" s="685">
        <v>29</v>
      </c>
      <c r="B19" s="690">
        <v>15512</v>
      </c>
      <c r="C19" s="687">
        <v>13294</v>
      </c>
      <c r="D19" s="686">
        <v>307</v>
      </c>
      <c r="E19" s="686">
        <v>1911</v>
      </c>
      <c r="F19" s="687">
        <v>10210</v>
      </c>
      <c r="G19" s="686">
        <v>77</v>
      </c>
      <c r="H19" s="686">
        <v>735</v>
      </c>
      <c r="I19" s="687">
        <v>3084</v>
      </c>
      <c r="J19" s="686">
        <v>230</v>
      </c>
      <c r="K19" s="686">
        <v>1176</v>
      </c>
      <c r="L19" s="688">
        <v>3180</v>
      </c>
      <c r="N19" s="689"/>
    </row>
    <row r="20" spans="1:14" ht="19.5" customHeight="1">
      <c r="A20" s="685">
        <v>30</v>
      </c>
      <c r="B20" s="690">
        <v>15680</v>
      </c>
      <c r="C20" s="687">
        <v>13690</v>
      </c>
      <c r="D20" s="686">
        <v>324</v>
      </c>
      <c r="E20" s="686">
        <v>1666</v>
      </c>
      <c r="F20" s="687">
        <v>10795</v>
      </c>
      <c r="G20" s="686">
        <v>79</v>
      </c>
      <c r="H20" s="686">
        <v>840</v>
      </c>
      <c r="I20" s="687">
        <v>2895</v>
      </c>
      <c r="J20" s="686">
        <v>245</v>
      </c>
      <c r="K20" s="686">
        <v>826</v>
      </c>
      <c r="L20" s="688">
        <v>3417</v>
      </c>
      <c r="N20" s="689"/>
    </row>
    <row r="21" spans="1:14" ht="19.5" customHeight="1">
      <c r="A21" s="685">
        <v>31</v>
      </c>
      <c r="B21" s="690">
        <v>16587</v>
      </c>
      <c r="C21" s="687">
        <v>14764</v>
      </c>
      <c r="D21" s="686">
        <v>362</v>
      </c>
      <c r="E21" s="686">
        <v>1461</v>
      </c>
      <c r="F21" s="687">
        <v>11459</v>
      </c>
      <c r="G21" s="686">
        <v>115</v>
      </c>
      <c r="H21" s="686">
        <v>1070</v>
      </c>
      <c r="I21" s="687">
        <v>3305</v>
      </c>
      <c r="J21" s="686">
        <v>247</v>
      </c>
      <c r="K21" s="686">
        <v>391</v>
      </c>
      <c r="L21" s="688">
        <v>3294</v>
      </c>
      <c r="N21" s="689"/>
    </row>
    <row r="22" spans="1:14" ht="19.5" customHeight="1">
      <c r="A22" s="685" t="s">
        <v>1070</v>
      </c>
      <c r="B22" s="690">
        <v>9643</v>
      </c>
      <c r="C22" s="687">
        <v>8404</v>
      </c>
      <c r="D22" s="686">
        <v>132</v>
      </c>
      <c r="E22" s="686">
        <v>1107</v>
      </c>
      <c r="F22" s="687">
        <v>4734</v>
      </c>
      <c r="G22" s="686">
        <v>74</v>
      </c>
      <c r="H22" s="686">
        <v>508</v>
      </c>
      <c r="I22" s="687">
        <v>3670</v>
      </c>
      <c r="J22" s="686">
        <v>58</v>
      </c>
      <c r="K22" s="686">
        <v>599</v>
      </c>
      <c r="L22" s="688">
        <v>2552</v>
      </c>
      <c r="N22" s="689"/>
    </row>
    <row r="23" spans="1:14" ht="19.5" customHeight="1">
      <c r="A23" s="685">
        <v>3</v>
      </c>
      <c r="B23" s="690">
        <v>10799</v>
      </c>
      <c r="C23" s="687">
        <v>9064</v>
      </c>
      <c r="D23" s="686">
        <v>861</v>
      </c>
      <c r="E23" s="686">
        <v>1536</v>
      </c>
      <c r="F23" s="687">
        <v>6247</v>
      </c>
      <c r="G23" s="686">
        <v>73</v>
      </c>
      <c r="H23" s="686">
        <v>735</v>
      </c>
      <c r="I23" s="687">
        <v>2817</v>
      </c>
      <c r="J23" s="686">
        <v>126</v>
      </c>
      <c r="K23" s="686">
        <v>801</v>
      </c>
      <c r="L23" s="688">
        <v>3273</v>
      </c>
      <c r="N23" s="689"/>
    </row>
    <row r="24" spans="1:14" ht="19.5" customHeight="1">
      <c r="A24" s="685">
        <v>4</v>
      </c>
      <c r="B24" s="690">
        <v>17797</v>
      </c>
      <c r="C24" s="687">
        <v>15015</v>
      </c>
      <c r="D24" s="686">
        <v>642</v>
      </c>
      <c r="E24" s="686">
        <v>2140</v>
      </c>
      <c r="F24" s="687">
        <v>9762</v>
      </c>
      <c r="G24" s="686">
        <v>114</v>
      </c>
      <c r="H24" s="686">
        <v>1004</v>
      </c>
      <c r="I24" s="687">
        <v>5253</v>
      </c>
      <c r="J24" s="686">
        <v>528</v>
      </c>
      <c r="K24" s="686">
        <v>1136</v>
      </c>
      <c r="L24" s="688">
        <v>3510</v>
      </c>
      <c r="N24" s="689"/>
    </row>
    <row r="25" spans="1:14" ht="19.5" customHeight="1">
      <c r="A25" s="685">
        <v>5</v>
      </c>
      <c r="B25" s="690">
        <v>17432</v>
      </c>
      <c r="C25" s="687">
        <v>15514</v>
      </c>
      <c r="D25" s="686">
        <v>258</v>
      </c>
      <c r="E25" s="686">
        <v>1660</v>
      </c>
      <c r="F25" s="687">
        <v>10377</v>
      </c>
      <c r="G25" s="686">
        <v>115</v>
      </c>
      <c r="H25" s="686">
        <v>866</v>
      </c>
      <c r="I25" s="687">
        <v>5137</v>
      </c>
      <c r="J25" s="686">
        <v>143</v>
      </c>
      <c r="K25" s="686">
        <v>794</v>
      </c>
      <c r="L25" s="688">
        <v>3328</v>
      </c>
      <c r="N25" s="689"/>
    </row>
    <row r="26" spans="1:14" s="1136" customFormat="1" ht="19.5" customHeight="1" thickBot="1">
      <c r="A26" s="1131"/>
      <c r="B26" s="1132"/>
      <c r="C26" s="1133"/>
      <c r="D26" s="1134"/>
      <c r="E26" s="1134"/>
      <c r="F26" s="1133"/>
      <c r="G26" s="1134"/>
      <c r="H26" s="1134"/>
      <c r="I26" s="1133"/>
      <c r="J26" s="1134"/>
      <c r="K26" s="1134"/>
      <c r="L26" s="1135"/>
      <c r="N26" s="1137"/>
    </row>
    <row r="27" spans="1:14" ht="19.5" customHeight="1">
      <c r="A27" s="11" t="s">
        <v>1071</v>
      </c>
      <c r="B27" s="11"/>
      <c r="C27" s="11" t="s">
        <v>1072</v>
      </c>
      <c r="D27" s="11"/>
      <c r="E27" s="11"/>
      <c r="F27" s="11"/>
      <c r="G27" s="11"/>
      <c r="H27" s="11"/>
      <c r="I27" s="11"/>
      <c r="J27" s="11"/>
      <c r="K27" s="11"/>
      <c r="L27" s="11"/>
    </row>
    <row r="28" spans="1:14" ht="19.5" customHeight="1"/>
    <row r="29" spans="1:14" ht="19.5" customHeight="1"/>
    <row r="30" spans="1:14" ht="19.5" customHeight="1"/>
    <row r="31" spans="1:14" ht="19.5" customHeight="1"/>
    <row r="32" spans="1:14" ht="19.5" customHeight="1"/>
    <row r="33" ht="19.5" customHeight="1"/>
  </sheetData>
  <mergeCells count="5">
    <mergeCell ref="A2:A3"/>
    <mergeCell ref="B2:E2"/>
    <mergeCell ref="F2:H2"/>
    <mergeCell ref="I2:K2"/>
    <mergeCell ref="L2:L3"/>
  </mergeCells>
  <phoneticPr fontId="4"/>
  <pageMargins left="0.78700000000000003" right="0.78700000000000003" top="0.98399999999999999" bottom="0.98399999999999999" header="0.51200000000000001" footer="0.51200000000000001"/>
  <pageSetup paperSize="9" scale="91"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D731-F7AE-4C99-9770-B7BCAE0B308A}">
  <sheetPr codeName="Sheet50"/>
  <dimension ref="A1:B457"/>
  <sheetViews>
    <sheetView zoomScaleNormal="100" workbookViewId="0"/>
  </sheetViews>
  <sheetFormatPr defaultRowHeight="18"/>
  <cols>
    <col min="1" max="1" width="29" style="711" customWidth="1"/>
    <col min="2" max="2" width="51.09765625" style="711" customWidth="1"/>
    <col min="3" max="3" width="0.8984375" customWidth="1"/>
  </cols>
  <sheetData>
    <row r="1" spans="1:2" ht="30" customHeight="1" thickBot="1">
      <c r="A1" s="342" t="s">
        <v>1385</v>
      </c>
      <c r="B1" s="696"/>
    </row>
    <row r="2" spans="1:2">
      <c r="A2" s="697"/>
      <c r="B2" s="698" t="s">
        <v>1073</v>
      </c>
    </row>
    <row r="3" spans="1:2">
      <c r="A3" s="700" t="s">
        <v>1074</v>
      </c>
      <c r="B3" s="701" t="s">
        <v>1075</v>
      </c>
    </row>
    <row r="4" spans="1:2">
      <c r="A4" s="712" t="s">
        <v>1076</v>
      </c>
      <c r="B4" s="713"/>
    </row>
    <row r="5" spans="1:2">
      <c r="A5" s="712" t="s">
        <v>1077</v>
      </c>
      <c r="B5" s="714"/>
    </row>
    <row r="6" spans="1:2">
      <c r="A6" s="702" t="s">
        <v>1078</v>
      </c>
      <c r="B6" s="2596" t="s">
        <v>1428</v>
      </c>
    </row>
    <row r="7" spans="1:2">
      <c r="A7" s="703">
        <v>19449</v>
      </c>
      <c r="B7" s="2596"/>
    </row>
    <row r="8" spans="1:2">
      <c r="A8" s="703" t="s">
        <v>1386</v>
      </c>
      <c r="B8" s="2596"/>
    </row>
    <row r="9" spans="1:2">
      <c r="A9" s="703"/>
      <c r="B9" s="2596"/>
    </row>
    <row r="10" spans="1:2">
      <c r="A10" s="702"/>
      <c r="B10" s="2596"/>
    </row>
    <row r="11" spans="1:2">
      <c r="A11" s="712" t="s">
        <v>1080</v>
      </c>
      <c r="B11" s="717"/>
    </row>
    <row r="12" spans="1:2">
      <c r="A12" s="704" t="s">
        <v>1081</v>
      </c>
      <c r="B12" s="2596" t="s">
        <v>1083</v>
      </c>
    </row>
    <row r="13" spans="1:2">
      <c r="A13" s="705">
        <v>18048</v>
      </c>
      <c r="B13" s="2596"/>
    </row>
    <row r="14" spans="1:2">
      <c r="A14" s="705" t="s">
        <v>1418</v>
      </c>
      <c r="B14" s="2596"/>
    </row>
    <row r="15" spans="1:2">
      <c r="A15" s="706"/>
      <c r="B15" s="2596"/>
    </row>
    <row r="16" spans="1:2">
      <c r="A16" s="704" t="s">
        <v>1084</v>
      </c>
      <c r="B16" s="2596" t="s">
        <v>1085</v>
      </c>
    </row>
    <row r="17" spans="1:2">
      <c r="A17" s="705">
        <v>18504</v>
      </c>
      <c r="B17" s="2596"/>
    </row>
    <row r="18" spans="1:2">
      <c r="A18" s="705" t="s">
        <v>1386</v>
      </c>
      <c r="B18" s="2596"/>
    </row>
    <row r="19" spans="1:2">
      <c r="A19" s="706"/>
      <c r="B19" s="2596"/>
    </row>
    <row r="20" spans="1:2">
      <c r="A20" s="704" t="s">
        <v>1086</v>
      </c>
      <c r="B20" s="2596" t="s">
        <v>1088</v>
      </c>
    </row>
    <row r="21" spans="1:2">
      <c r="A21" s="705">
        <v>20132</v>
      </c>
      <c r="B21" s="2596"/>
    </row>
    <row r="22" spans="1:2">
      <c r="A22" s="706" t="s">
        <v>1087</v>
      </c>
      <c r="B22" s="2596"/>
    </row>
    <row r="23" spans="1:2">
      <c r="A23" s="704" t="s">
        <v>1089</v>
      </c>
      <c r="B23" s="2596" t="s">
        <v>1091</v>
      </c>
    </row>
    <row r="24" spans="1:2">
      <c r="A24" s="705">
        <v>20870</v>
      </c>
      <c r="B24" s="2596"/>
    </row>
    <row r="25" spans="1:2">
      <c r="A25" s="705" t="s">
        <v>1387</v>
      </c>
      <c r="B25" s="2596"/>
    </row>
    <row r="26" spans="1:2">
      <c r="A26" s="706"/>
      <c r="B26" s="2596"/>
    </row>
    <row r="27" spans="1:2">
      <c r="A27" s="704" t="s">
        <v>1092</v>
      </c>
      <c r="B27" s="2596" t="s">
        <v>1093</v>
      </c>
    </row>
    <row r="28" spans="1:2">
      <c r="A28" s="705">
        <v>22329</v>
      </c>
      <c r="B28" s="2596"/>
    </row>
    <row r="29" spans="1:2">
      <c r="A29" s="705" t="s">
        <v>1386</v>
      </c>
      <c r="B29" s="2596"/>
    </row>
    <row r="30" spans="1:2">
      <c r="A30" s="706"/>
      <c r="B30" s="2596"/>
    </row>
    <row r="31" spans="1:2">
      <c r="A31" s="704" t="s">
        <v>1094</v>
      </c>
      <c r="B31" s="2596" t="s">
        <v>1095</v>
      </c>
    </row>
    <row r="32" spans="1:2">
      <c r="A32" s="705">
        <v>18504</v>
      </c>
      <c r="B32" s="2596"/>
    </row>
    <row r="33" spans="1:2">
      <c r="A33" s="705" t="s">
        <v>1388</v>
      </c>
      <c r="B33" s="2596"/>
    </row>
    <row r="34" spans="1:2">
      <c r="A34" s="705"/>
      <c r="B34" s="2596"/>
    </row>
    <row r="35" spans="1:2">
      <c r="A35" s="706"/>
      <c r="B35" s="2596"/>
    </row>
    <row r="36" spans="1:2">
      <c r="A36" s="704" t="s">
        <v>1096</v>
      </c>
      <c r="B36" s="2596" t="s">
        <v>1097</v>
      </c>
    </row>
    <row r="37" spans="1:2">
      <c r="A37" s="705">
        <v>18504</v>
      </c>
      <c r="B37" s="2596"/>
    </row>
    <row r="38" spans="1:2">
      <c r="A38" s="705" t="s">
        <v>1388</v>
      </c>
      <c r="B38" s="2596"/>
    </row>
    <row r="39" spans="1:2">
      <c r="A39" s="706"/>
      <c r="B39" s="2596"/>
    </row>
    <row r="40" spans="1:2">
      <c r="A40" s="704" t="s">
        <v>1098</v>
      </c>
      <c r="B40" s="2597" t="s">
        <v>1389</v>
      </c>
    </row>
    <row r="41" spans="1:2">
      <c r="A41" s="705">
        <v>35767</v>
      </c>
      <c r="B41" s="2598"/>
    </row>
    <row r="42" spans="1:2">
      <c r="A42" s="705" t="s">
        <v>1390</v>
      </c>
      <c r="B42" s="2598"/>
    </row>
    <row r="43" spans="1:2">
      <c r="A43" s="705"/>
      <c r="B43" s="2598"/>
    </row>
    <row r="44" spans="1:2">
      <c r="A44" s="706"/>
      <c r="B44" s="2599"/>
    </row>
    <row r="45" spans="1:2">
      <c r="A45" s="712" t="s">
        <v>1100</v>
      </c>
      <c r="B45" s="717"/>
    </row>
    <row r="46" spans="1:2">
      <c r="A46" s="704" t="s">
        <v>1101</v>
      </c>
      <c r="B46" s="2596" t="s">
        <v>1103</v>
      </c>
    </row>
    <row r="47" spans="1:2">
      <c r="A47" s="705">
        <v>8321</v>
      </c>
      <c r="B47" s="2596"/>
    </row>
    <row r="48" spans="1:2">
      <c r="A48" s="706" t="s">
        <v>1102</v>
      </c>
      <c r="B48" s="2596"/>
    </row>
    <row r="49" spans="1:2">
      <c r="A49" s="712" t="s">
        <v>1104</v>
      </c>
      <c r="B49" s="715" t="s">
        <v>1105</v>
      </c>
    </row>
    <row r="50" spans="1:2">
      <c r="A50" s="704" t="s">
        <v>1106</v>
      </c>
      <c r="B50" s="2596" t="s">
        <v>1107</v>
      </c>
    </row>
    <row r="51" spans="1:2">
      <c r="A51" s="707">
        <v>20135</v>
      </c>
      <c r="B51" s="2596"/>
    </row>
    <row r="52" spans="1:2">
      <c r="A52" s="704" t="s">
        <v>1108</v>
      </c>
      <c r="B52" s="2596" t="s">
        <v>1109</v>
      </c>
    </row>
    <row r="53" spans="1:2">
      <c r="A53" s="707">
        <v>20135</v>
      </c>
      <c r="B53" s="2596"/>
    </row>
    <row r="54" spans="1:2">
      <c r="A54" s="712" t="s">
        <v>1100</v>
      </c>
      <c r="B54" s="715" t="s">
        <v>1105</v>
      </c>
    </row>
    <row r="55" spans="1:2">
      <c r="A55" s="704" t="s">
        <v>1110</v>
      </c>
      <c r="B55" s="2596" t="s">
        <v>1107</v>
      </c>
    </row>
    <row r="56" spans="1:2">
      <c r="A56" s="707">
        <v>23874</v>
      </c>
      <c r="B56" s="2596"/>
    </row>
    <row r="57" spans="1:2">
      <c r="A57" s="702" t="s">
        <v>1111</v>
      </c>
      <c r="B57" s="2596" t="s">
        <v>1109</v>
      </c>
    </row>
    <row r="58" spans="1:2">
      <c r="A58" s="703">
        <v>27571</v>
      </c>
      <c r="B58" s="2596"/>
    </row>
    <row r="59" spans="1:2">
      <c r="A59" s="712" t="s">
        <v>1112</v>
      </c>
      <c r="B59" s="717"/>
    </row>
    <row r="60" spans="1:2">
      <c r="A60" s="712" t="s">
        <v>1113</v>
      </c>
      <c r="B60" s="717"/>
    </row>
    <row r="61" spans="1:2">
      <c r="A61" s="702" t="s">
        <v>1114</v>
      </c>
      <c r="B61" s="2596" t="s">
        <v>1116</v>
      </c>
    </row>
    <row r="62" spans="1:2">
      <c r="A62" s="703">
        <v>43035</v>
      </c>
      <c r="B62" s="2596"/>
    </row>
    <row r="63" spans="1:2">
      <c r="A63" s="703" t="s">
        <v>1419</v>
      </c>
      <c r="B63" s="2596"/>
    </row>
    <row r="64" spans="1:2">
      <c r="A64" s="702"/>
      <c r="B64" s="2596"/>
    </row>
    <row r="65" spans="1:2">
      <c r="A65" s="704" t="s">
        <v>1117</v>
      </c>
      <c r="B65" s="2596" t="s">
        <v>1118</v>
      </c>
    </row>
    <row r="66" spans="1:2">
      <c r="A66" s="705">
        <v>43035</v>
      </c>
      <c r="B66" s="2596"/>
    </row>
    <row r="67" spans="1:2">
      <c r="A67" s="706" t="s">
        <v>1115</v>
      </c>
      <c r="B67" s="2596"/>
    </row>
    <row r="68" spans="1:2">
      <c r="A68" s="704" t="s">
        <v>1119</v>
      </c>
      <c r="B68" s="2596" t="s">
        <v>1120</v>
      </c>
    </row>
    <row r="69" spans="1:2">
      <c r="A69" s="705">
        <v>43406</v>
      </c>
      <c r="B69" s="2596"/>
    </row>
    <row r="70" spans="1:2">
      <c r="A70" s="705" t="s">
        <v>1391</v>
      </c>
      <c r="B70" s="2596"/>
    </row>
    <row r="71" spans="1:2">
      <c r="A71" s="705"/>
      <c r="B71" s="2596"/>
    </row>
    <row r="72" spans="1:2">
      <c r="A72" s="706"/>
      <c r="B72" s="2596"/>
    </row>
    <row r="73" spans="1:2">
      <c r="A73" s="704" t="s">
        <v>1121</v>
      </c>
      <c r="B73" s="2596" t="s">
        <v>1124</v>
      </c>
    </row>
    <row r="74" spans="1:2">
      <c r="A74" s="708" t="s">
        <v>1122</v>
      </c>
      <c r="B74" s="2596"/>
    </row>
    <row r="75" spans="1:2">
      <c r="A75" s="706" t="s">
        <v>1123</v>
      </c>
      <c r="B75" s="2596"/>
    </row>
    <row r="76" spans="1:2">
      <c r="A76" s="704" t="s">
        <v>1125</v>
      </c>
      <c r="B76" s="2596" t="s">
        <v>1127</v>
      </c>
    </row>
    <row r="77" spans="1:2">
      <c r="A77" s="705">
        <v>44865</v>
      </c>
      <c r="B77" s="2596"/>
    </row>
    <row r="78" spans="1:2">
      <c r="A78" s="706" t="s">
        <v>1126</v>
      </c>
      <c r="B78" s="2596"/>
    </row>
    <row r="79" spans="1:2">
      <c r="A79" s="704" t="s">
        <v>1128</v>
      </c>
      <c r="B79" s="2596" t="s">
        <v>1129</v>
      </c>
    </row>
    <row r="80" spans="1:2">
      <c r="A80" s="705">
        <v>44865</v>
      </c>
      <c r="B80" s="2596"/>
    </row>
    <row r="81" spans="1:2">
      <c r="A81" s="706" t="s">
        <v>1126</v>
      </c>
      <c r="B81" s="2596"/>
    </row>
    <row r="82" spans="1:2">
      <c r="A82" s="704" t="s">
        <v>1130</v>
      </c>
      <c r="B82" s="2596" t="s">
        <v>1131</v>
      </c>
    </row>
    <row r="83" spans="1:2">
      <c r="A83" s="705">
        <v>44865</v>
      </c>
      <c r="B83" s="2596"/>
    </row>
    <row r="84" spans="1:2">
      <c r="A84" s="706" t="s">
        <v>1126</v>
      </c>
      <c r="B84" s="2596"/>
    </row>
    <row r="85" spans="1:2">
      <c r="A85" s="712" t="s">
        <v>1132</v>
      </c>
      <c r="B85" s="718"/>
    </row>
    <row r="86" spans="1:2">
      <c r="A86" s="712" t="s">
        <v>1133</v>
      </c>
      <c r="B86" s="718"/>
    </row>
    <row r="87" spans="1:2">
      <c r="A87" s="704" t="s">
        <v>1134</v>
      </c>
      <c r="B87" s="2596" t="s">
        <v>1136</v>
      </c>
    </row>
    <row r="88" spans="1:2">
      <c r="A88" s="705">
        <v>23756</v>
      </c>
      <c r="B88" s="2596"/>
    </row>
    <row r="89" spans="1:2">
      <c r="A89" s="706" t="s">
        <v>1135</v>
      </c>
      <c r="B89" s="2596"/>
    </row>
    <row r="90" spans="1:2">
      <c r="A90" s="704" t="s">
        <v>1137</v>
      </c>
      <c r="B90" s="2596" t="s">
        <v>1138</v>
      </c>
    </row>
    <row r="91" spans="1:2">
      <c r="A91" s="705">
        <v>24134</v>
      </c>
      <c r="B91" s="2596"/>
    </row>
    <row r="92" spans="1:2">
      <c r="A92" s="706" t="s">
        <v>1087</v>
      </c>
      <c r="B92" s="2596"/>
    </row>
    <row r="93" spans="1:2">
      <c r="A93" s="704" t="s">
        <v>1139</v>
      </c>
      <c r="B93" s="2596" t="s">
        <v>1141</v>
      </c>
    </row>
    <row r="94" spans="1:2">
      <c r="A94" s="705">
        <v>24134</v>
      </c>
      <c r="B94" s="2596"/>
    </row>
    <row r="95" spans="1:2">
      <c r="A95" s="706" t="s">
        <v>1140</v>
      </c>
      <c r="B95" s="2596"/>
    </row>
    <row r="96" spans="1:2">
      <c r="A96" s="704" t="s">
        <v>1142</v>
      </c>
      <c r="B96" s="2596" t="s">
        <v>1143</v>
      </c>
    </row>
    <row r="97" spans="1:2">
      <c r="A97" s="705">
        <v>32006</v>
      </c>
      <c r="B97" s="2596"/>
    </row>
    <row r="98" spans="1:2">
      <c r="A98" s="705" t="s">
        <v>1392</v>
      </c>
      <c r="B98" s="2596"/>
    </row>
    <row r="99" spans="1:2">
      <c r="A99" s="706"/>
      <c r="B99" s="2596"/>
    </row>
    <row r="100" spans="1:2">
      <c r="A100" s="704" t="s">
        <v>1144</v>
      </c>
      <c r="B100" s="2596" t="s">
        <v>1145</v>
      </c>
    </row>
    <row r="101" spans="1:2">
      <c r="A101" s="705">
        <v>34193</v>
      </c>
      <c r="B101" s="2596"/>
    </row>
    <row r="102" spans="1:2">
      <c r="A102" s="705" t="s">
        <v>1393</v>
      </c>
      <c r="B102" s="2596"/>
    </row>
    <row r="103" spans="1:2">
      <c r="A103" s="705"/>
      <c r="B103" s="2596"/>
    </row>
    <row r="104" spans="1:2">
      <c r="A104" s="706"/>
      <c r="B104" s="2596"/>
    </row>
    <row r="105" spans="1:2">
      <c r="A105" s="704" t="s">
        <v>1146</v>
      </c>
      <c r="B105" s="2596" t="s">
        <v>1147</v>
      </c>
    </row>
    <row r="106" spans="1:2">
      <c r="A106" s="705">
        <v>36237</v>
      </c>
      <c r="B106" s="2596"/>
    </row>
    <row r="107" spans="1:2">
      <c r="A107" s="705" t="s">
        <v>1394</v>
      </c>
      <c r="B107" s="2596"/>
    </row>
    <row r="108" spans="1:2">
      <c r="A108" s="705"/>
      <c r="B108" s="2596"/>
    </row>
    <row r="109" spans="1:2">
      <c r="A109" s="706"/>
      <c r="B109" s="2596"/>
    </row>
    <row r="110" spans="1:2">
      <c r="A110" s="704" t="s">
        <v>1148</v>
      </c>
      <c r="B110" s="2596" t="s">
        <v>1150</v>
      </c>
    </row>
    <row r="111" spans="1:2">
      <c r="A111" s="705">
        <v>36419</v>
      </c>
      <c r="B111" s="2596"/>
    </row>
    <row r="112" spans="1:2">
      <c r="A112" s="705" t="s">
        <v>1395</v>
      </c>
      <c r="B112" s="2596"/>
    </row>
    <row r="113" spans="1:2">
      <c r="A113" s="706"/>
      <c r="B113" s="2596"/>
    </row>
    <row r="114" spans="1:2">
      <c r="A114" s="704" t="s">
        <v>1151</v>
      </c>
      <c r="B114" s="2596" t="s">
        <v>1152</v>
      </c>
    </row>
    <row r="115" spans="1:2">
      <c r="A115" s="705">
        <v>40815</v>
      </c>
      <c r="B115" s="2596"/>
    </row>
    <row r="116" spans="1:2">
      <c r="A116" s="705" t="s">
        <v>1394</v>
      </c>
      <c r="B116" s="2596"/>
    </row>
    <row r="117" spans="1:2">
      <c r="A117" s="706"/>
      <c r="B117" s="2596"/>
    </row>
    <row r="118" spans="1:2">
      <c r="A118" s="704" t="s">
        <v>1153</v>
      </c>
      <c r="B118" s="2596" t="s">
        <v>1155</v>
      </c>
    </row>
    <row r="119" spans="1:2">
      <c r="A119" s="705">
        <v>45260</v>
      </c>
      <c r="B119" s="2596"/>
    </row>
    <row r="120" spans="1:2">
      <c r="A120" s="705" t="s">
        <v>1396</v>
      </c>
      <c r="B120" s="2596"/>
    </row>
    <row r="121" spans="1:2">
      <c r="A121" s="706"/>
      <c r="B121" s="2596"/>
    </row>
    <row r="122" spans="1:2">
      <c r="A122" s="712" t="s">
        <v>1156</v>
      </c>
      <c r="B122" s="717"/>
    </row>
    <row r="123" spans="1:2">
      <c r="A123" s="704" t="s">
        <v>1157</v>
      </c>
      <c r="B123" s="2596" t="s">
        <v>1158</v>
      </c>
    </row>
    <row r="124" spans="1:2">
      <c r="A124" s="705">
        <v>25387</v>
      </c>
      <c r="B124" s="2596"/>
    </row>
    <row r="125" spans="1:2">
      <c r="A125" s="705" t="s">
        <v>1386</v>
      </c>
      <c r="B125" s="2596"/>
    </row>
    <row r="126" spans="1:2">
      <c r="A126" s="706"/>
      <c r="B126" s="2596"/>
    </row>
    <row r="127" spans="1:2">
      <c r="A127" s="704" t="s">
        <v>1159</v>
      </c>
      <c r="B127" s="2596" t="s">
        <v>1160</v>
      </c>
    </row>
    <row r="128" spans="1:2">
      <c r="A128" s="705">
        <v>32923</v>
      </c>
      <c r="B128" s="2596"/>
    </row>
    <row r="129" spans="1:2">
      <c r="A129" s="705" t="s">
        <v>1386</v>
      </c>
      <c r="B129" s="2596"/>
    </row>
    <row r="130" spans="1:2">
      <c r="A130" s="706"/>
      <c r="B130" s="2596"/>
    </row>
    <row r="131" spans="1:2">
      <c r="A131" s="704" t="s">
        <v>1161</v>
      </c>
      <c r="B131" s="2596" t="s">
        <v>1162</v>
      </c>
    </row>
    <row r="132" spans="1:2">
      <c r="A132" s="705">
        <v>37154</v>
      </c>
      <c r="B132" s="2596"/>
    </row>
    <row r="133" spans="1:2">
      <c r="A133" s="705" t="s">
        <v>1394</v>
      </c>
      <c r="B133" s="2596"/>
    </row>
    <row r="134" spans="1:2">
      <c r="A134" s="706"/>
      <c r="B134" s="2596"/>
    </row>
    <row r="135" spans="1:2">
      <c r="A135" s="712" t="s">
        <v>1163</v>
      </c>
      <c r="B135" s="717"/>
    </row>
    <row r="136" spans="1:2">
      <c r="A136" s="704" t="s">
        <v>1164</v>
      </c>
      <c r="B136" s="2596" t="s">
        <v>1165</v>
      </c>
    </row>
    <row r="137" spans="1:2">
      <c r="A137" s="705">
        <v>21957</v>
      </c>
      <c r="B137" s="2596"/>
    </row>
    <row r="138" spans="1:2">
      <c r="A138" s="705" t="s">
        <v>1397</v>
      </c>
      <c r="B138" s="2596"/>
    </row>
    <row r="139" spans="1:2">
      <c r="A139" s="705"/>
      <c r="B139" s="2596"/>
    </row>
    <row r="140" spans="1:2">
      <c r="A140" s="705"/>
      <c r="B140" s="2596"/>
    </row>
    <row r="141" spans="1:2">
      <c r="A141" s="705"/>
      <c r="B141" s="2596"/>
    </row>
    <row r="142" spans="1:2">
      <c r="A142" s="706"/>
      <c r="B142" s="2596"/>
    </row>
    <row r="143" spans="1:2">
      <c r="A143" s="716" t="s">
        <v>1166</v>
      </c>
      <c r="B143" s="717"/>
    </row>
    <row r="144" spans="1:2">
      <c r="A144" s="704" t="s">
        <v>1167</v>
      </c>
      <c r="B144" s="2596" t="s">
        <v>1168</v>
      </c>
    </row>
    <row r="145" spans="1:2">
      <c r="A145" s="705">
        <v>22839</v>
      </c>
      <c r="B145" s="2596"/>
    </row>
    <row r="146" spans="1:2">
      <c r="A146" s="705" t="s">
        <v>1398</v>
      </c>
      <c r="B146" s="2596"/>
    </row>
    <row r="147" spans="1:2">
      <c r="A147" s="705"/>
      <c r="B147" s="2596"/>
    </row>
    <row r="148" spans="1:2">
      <c r="A148" s="706"/>
      <c r="B148" s="2596"/>
    </row>
    <row r="149" spans="1:2">
      <c r="A149" s="704" t="s">
        <v>1169</v>
      </c>
      <c r="B149" s="2596" t="s">
        <v>1170</v>
      </c>
    </row>
    <row r="150" spans="1:2">
      <c r="A150" s="705">
        <v>23862</v>
      </c>
      <c r="B150" s="2596"/>
    </row>
    <row r="151" spans="1:2">
      <c r="A151" s="705" t="s">
        <v>1394</v>
      </c>
      <c r="B151" s="2596"/>
    </row>
    <row r="152" spans="1:2">
      <c r="A152" s="706"/>
      <c r="B152" s="2596"/>
    </row>
    <row r="153" spans="1:2">
      <c r="A153" s="704" t="s">
        <v>1171</v>
      </c>
      <c r="B153" s="2596" t="s">
        <v>1172</v>
      </c>
    </row>
    <row r="154" spans="1:2">
      <c r="A154" s="705">
        <v>25279</v>
      </c>
      <c r="B154" s="2596"/>
    </row>
    <row r="155" spans="1:2">
      <c r="A155" s="705" t="s">
        <v>1386</v>
      </c>
      <c r="B155" s="2596"/>
    </row>
    <row r="156" spans="1:2">
      <c r="A156" s="706"/>
      <c r="B156" s="2596"/>
    </row>
    <row r="157" spans="1:2">
      <c r="A157" s="704" t="s">
        <v>1173</v>
      </c>
      <c r="B157" s="2596" t="s">
        <v>1174</v>
      </c>
    </row>
    <row r="158" spans="1:2">
      <c r="A158" s="705">
        <v>26168</v>
      </c>
      <c r="B158" s="2596"/>
    </row>
    <row r="159" spans="1:2">
      <c r="A159" s="705" t="s">
        <v>1399</v>
      </c>
      <c r="B159" s="2596"/>
    </row>
    <row r="160" spans="1:2">
      <c r="A160" s="705"/>
      <c r="B160" s="2596"/>
    </row>
    <row r="161" spans="1:2">
      <c r="A161" s="706"/>
      <c r="B161" s="2596"/>
    </row>
    <row r="162" spans="1:2">
      <c r="A162" s="704" t="s">
        <v>1175</v>
      </c>
      <c r="B162" s="2596" t="s">
        <v>1176</v>
      </c>
    </row>
    <row r="163" spans="1:2">
      <c r="A163" s="705">
        <v>39093</v>
      </c>
      <c r="B163" s="2596"/>
    </row>
    <row r="164" spans="1:2">
      <c r="A164" s="705" t="s">
        <v>1400</v>
      </c>
      <c r="B164" s="2596"/>
    </row>
    <row r="165" spans="1:2">
      <c r="A165" s="706"/>
      <c r="B165" s="2596"/>
    </row>
    <row r="166" spans="1:2">
      <c r="A166" s="716" t="s">
        <v>1166</v>
      </c>
      <c r="B166" s="719" t="s">
        <v>1105</v>
      </c>
    </row>
    <row r="167" spans="1:2">
      <c r="A167" s="699" t="s">
        <v>1177</v>
      </c>
      <c r="B167" s="720" t="s">
        <v>1178</v>
      </c>
    </row>
    <row r="168" spans="1:2">
      <c r="A168" s="706" t="s">
        <v>1179</v>
      </c>
      <c r="B168" s="720" t="s">
        <v>1178</v>
      </c>
    </row>
    <row r="169" spans="1:2">
      <c r="A169" s="709" t="s">
        <v>1180</v>
      </c>
      <c r="B169" s="720" t="s">
        <v>1178</v>
      </c>
    </row>
    <row r="170" spans="1:2">
      <c r="A170" s="709" t="s">
        <v>1181</v>
      </c>
      <c r="B170" s="720" t="s">
        <v>1178</v>
      </c>
    </row>
    <row r="171" spans="1:2">
      <c r="A171" s="709" t="s">
        <v>1182</v>
      </c>
      <c r="B171" s="720" t="s">
        <v>1178</v>
      </c>
    </row>
    <row r="172" spans="1:2">
      <c r="A172" s="709" t="s">
        <v>1183</v>
      </c>
      <c r="B172" s="720" t="s">
        <v>1178</v>
      </c>
    </row>
    <row r="173" spans="1:2">
      <c r="A173" s="709" t="s">
        <v>1184</v>
      </c>
      <c r="B173" s="720" t="s">
        <v>1178</v>
      </c>
    </row>
    <row r="174" spans="1:2">
      <c r="A174" s="709" t="s">
        <v>1185</v>
      </c>
      <c r="B174" s="720" t="s">
        <v>1178</v>
      </c>
    </row>
    <row r="175" spans="1:2">
      <c r="A175" s="709" t="s">
        <v>1186</v>
      </c>
      <c r="B175" s="720" t="s">
        <v>1178</v>
      </c>
    </row>
    <row r="176" spans="1:2">
      <c r="A176" s="709" t="s">
        <v>1187</v>
      </c>
      <c r="B176" s="720" t="s">
        <v>1109</v>
      </c>
    </row>
    <row r="177" spans="1:2">
      <c r="A177" s="709" t="s">
        <v>1188</v>
      </c>
      <c r="B177" s="720" t="s">
        <v>1109</v>
      </c>
    </row>
    <row r="178" spans="1:2">
      <c r="A178" s="716" t="s">
        <v>1189</v>
      </c>
      <c r="B178" s="717"/>
    </row>
    <row r="179" spans="1:2">
      <c r="A179" s="704" t="s">
        <v>1190</v>
      </c>
      <c r="B179" s="2596" t="s">
        <v>1192</v>
      </c>
    </row>
    <row r="180" spans="1:2">
      <c r="A180" s="705">
        <v>26277</v>
      </c>
      <c r="B180" s="2596"/>
    </row>
    <row r="181" spans="1:2">
      <c r="A181" s="706" t="s">
        <v>1191</v>
      </c>
      <c r="B181" s="2596"/>
    </row>
    <row r="182" spans="1:2">
      <c r="A182" s="704" t="s">
        <v>1193</v>
      </c>
      <c r="B182" s="2596" t="s">
        <v>1194</v>
      </c>
    </row>
    <row r="183" spans="1:2">
      <c r="A183" s="705">
        <v>30013</v>
      </c>
      <c r="B183" s="2596"/>
    </row>
    <row r="184" spans="1:2">
      <c r="A184" s="705" t="s">
        <v>1418</v>
      </c>
      <c r="B184" s="2596"/>
    </row>
    <row r="185" spans="1:2">
      <c r="A185" s="706"/>
      <c r="B185" s="2596"/>
    </row>
    <row r="186" spans="1:2">
      <c r="A186" s="704" t="s">
        <v>1195</v>
      </c>
      <c r="B186" s="2596" t="s">
        <v>1196</v>
      </c>
    </row>
    <row r="187" spans="1:2">
      <c r="A187" s="705">
        <v>30013</v>
      </c>
      <c r="B187" s="2596"/>
    </row>
    <row r="188" spans="1:2">
      <c r="A188" s="706" t="s">
        <v>1082</v>
      </c>
      <c r="B188" s="2596"/>
    </row>
    <row r="189" spans="1:2">
      <c r="A189" s="704" t="s">
        <v>1197</v>
      </c>
      <c r="B189" s="2596" t="s">
        <v>1199</v>
      </c>
    </row>
    <row r="190" spans="1:2">
      <c r="A190" s="705">
        <v>31859</v>
      </c>
      <c r="B190" s="2596"/>
    </row>
    <row r="191" spans="1:2">
      <c r="A191" s="706" t="s">
        <v>1198</v>
      </c>
      <c r="B191" s="2596"/>
    </row>
    <row r="192" spans="1:2">
      <c r="A192" s="704" t="s">
        <v>1200</v>
      </c>
      <c r="B192" s="2596" t="s">
        <v>1201</v>
      </c>
    </row>
    <row r="193" spans="1:2">
      <c r="A193" s="705">
        <v>32156</v>
      </c>
      <c r="B193" s="2596"/>
    </row>
    <row r="194" spans="1:2">
      <c r="A194" s="705" t="s">
        <v>1420</v>
      </c>
      <c r="B194" s="2596"/>
    </row>
    <row r="195" spans="1:2">
      <c r="A195" s="706"/>
      <c r="B195" s="2596"/>
    </row>
    <row r="196" spans="1:2">
      <c r="A196" s="704" t="s">
        <v>1202</v>
      </c>
      <c r="B196" s="2596" t="s">
        <v>1204</v>
      </c>
    </row>
    <row r="197" spans="1:2">
      <c r="A197" s="705">
        <v>32156</v>
      </c>
      <c r="B197" s="2596"/>
    </row>
    <row r="198" spans="1:2">
      <c r="A198" s="706" t="s">
        <v>1203</v>
      </c>
      <c r="B198" s="2596"/>
    </row>
    <row r="199" spans="1:2">
      <c r="A199" s="704" t="s">
        <v>1205</v>
      </c>
      <c r="B199" s="2596" t="s">
        <v>1207</v>
      </c>
    </row>
    <row r="200" spans="1:2">
      <c r="A200" s="705">
        <v>32595</v>
      </c>
      <c r="B200" s="2596"/>
    </row>
    <row r="201" spans="1:2">
      <c r="A201" s="706" t="s">
        <v>1206</v>
      </c>
      <c r="B201" s="2596"/>
    </row>
    <row r="202" spans="1:2">
      <c r="A202" s="704" t="s">
        <v>1208</v>
      </c>
      <c r="B202" s="2596" t="s">
        <v>1209</v>
      </c>
    </row>
    <row r="203" spans="1:2">
      <c r="A203" s="705">
        <v>33389</v>
      </c>
      <c r="B203" s="2596"/>
    </row>
    <row r="204" spans="1:2">
      <c r="A204" s="706" t="s">
        <v>1082</v>
      </c>
      <c r="B204" s="2596"/>
    </row>
    <row r="205" spans="1:2">
      <c r="A205" s="704" t="s">
        <v>1210</v>
      </c>
      <c r="B205" s="2596" t="s">
        <v>1211</v>
      </c>
    </row>
    <row r="206" spans="1:2">
      <c r="A206" s="705">
        <v>33389</v>
      </c>
      <c r="B206" s="2596"/>
    </row>
    <row r="207" spans="1:2">
      <c r="A207" s="706" t="s">
        <v>1090</v>
      </c>
      <c r="B207" s="2596"/>
    </row>
    <row r="208" spans="1:2">
      <c r="A208" s="704" t="s">
        <v>1212</v>
      </c>
      <c r="B208" s="2596" t="s">
        <v>1213</v>
      </c>
    </row>
    <row r="209" spans="1:2">
      <c r="A209" s="705">
        <v>33743</v>
      </c>
      <c r="B209" s="2596"/>
    </row>
    <row r="210" spans="1:2">
      <c r="A210" s="705" t="s">
        <v>1401</v>
      </c>
      <c r="B210" s="2596"/>
    </row>
    <row r="211" spans="1:2">
      <c r="A211" s="706"/>
      <c r="B211" s="2596"/>
    </row>
    <row r="212" spans="1:2">
      <c r="A212" s="704" t="s">
        <v>1214</v>
      </c>
      <c r="B212" s="2596" t="s">
        <v>1215</v>
      </c>
    </row>
    <row r="213" spans="1:2">
      <c r="A213" s="705">
        <v>33743</v>
      </c>
      <c r="B213" s="2596"/>
    </row>
    <row r="214" spans="1:2">
      <c r="A214" s="705" t="s">
        <v>1401</v>
      </c>
      <c r="B214" s="2596"/>
    </row>
    <row r="215" spans="1:2">
      <c r="A215" s="706"/>
      <c r="B215" s="2596"/>
    </row>
    <row r="216" spans="1:2">
      <c r="A216" s="704" t="s">
        <v>1216</v>
      </c>
      <c r="B216" s="2596" t="s">
        <v>1218</v>
      </c>
    </row>
    <row r="217" spans="1:2">
      <c r="A217" s="705">
        <v>34452</v>
      </c>
      <c r="B217" s="2596"/>
    </row>
    <row r="218" spans="1:2">
      <c r="A218" s="706" t="s">
        <v>1217</v>
      </c>
      <c r="B218" s="2596"/>
    </row>
    <row r="219" spans="1:2">
      <c r="A219" s="704" t="s">
        <v>1219</v>
      </c>
      <c r="B219" s="2596" t="s">
        <v>1220</v>
      </c>
    </row>
    <row r="220" spans="1:2">
      <c r="A220" s="705">
        <v>34815</v>
      </c>
      <c r="B220" s="2596"/>
    </row>
    <row r="221" spans="1:2">
      <c r="A221" s="705" t="s">
        <v>1421</v>
      </c>
      <c r="B221" s="2596"/>
    </row>
    <row r="222" spans="1:2">
      <c r="A222" s="706"/>
      <c r="B222" s="2596"/>
    </row>
    <row r="223" spans="1:2">
      <c r="A223" s="704" t="s">
        <v>1403</v>
      </c>
      <c r="B223" s="2596" t="s">
        <v>1221</v>
      </c>
    </row>
    <row r="224" spans="1:2">
      <c r="A224" s="705">
        <v>35149</v>
      </c>
      <c r="B224" s="2596"/>
    </row>
    <row r="225" spans="1:2">
      <c r="A225" s="705" t="s">
        <v>1402</v>
      </c>
      <c r="B225" s="2596"/>
    </row>
    <row r="226" spans="1:2">
      <c r="A226" s="706"/>
      <c r="B226" s="2596"/>
    </row>
    <row r="227" spans="1:2">
      <c r="A227" s="704" t="s">
        <v>1222</v>
      </c>
      <c r="B227" s="2596" t="s">
        <v>1223</v>
      </c>
    </row>
    <row r="228" spans="1:2">
      <c r="A228" s="705">
        <v>35149</v>
      </c>
      <c r="B228" s="2596"/>
    </row>
    <row r="229" spans="1:2">
      <c r="A229" s="705" t="s">
        <v>1395</v>
      </c>
      <c r="B229" s="2596"/>
    </row>
    <row r="230" spans="1:2">
      <c r="A230" s="706"/>
      <c r="B230" s="2596"/>
    </row>
    <row r="231" spans="1:2">
      <c r="A231" s="702" t="s">
        <v>1224</v>
      </c>
      <c r="B231" s="2596" t="s">
        <v>1225</v>
      </c>
    </row>
    <row r="232" spans="1:2">
      <c r="A232" s="703">
        <v>35513</v>
      </c>
      <c r="B232" s="2596"/>
    </row>
    <row r="233" spans="1:2">
      <c r="A233" s="703" t="s">
        <v>1394</v>
      </c>
      <c r="B233" s="2596"/>
    </row>
    <row r="234" spans="1:2">
      <c r="A234" s="702"/>
      <c r="B234" s="2596"/>
    </row>
    <row r="235" spans="1:2">
      <c r="A235" s="704" t="s">
        <v>1226</v>
      </c>
      <c r="B235" s="2596" t="s">
        <v>1227</v>
      </c>
    </row>
    <row r="236" spans="1:2">
      <c r="A236" s="705">
        <v>35879</v>
      </c>
      <c r="B236" s="2596"/>
    </row>
    <row r="237" spans="1:2">
      <c r="A237" s="706" t="s">
        <v>1079</v>
      </c>
      <c r="B237" s="2596"/>
    </row>
    <row r="238" spans="1:2">
      <c r="A238" s="704" t="s">
        <v>1228</v>
      </c>
      <c r="B238" s="2596" t="s">
        <v>1229</v>
      </c>
    </row>
    <row r="239" spans="1:2">
      <c r="A239" s="705">
        <v>35879</v>
      </c>
      <c r="B239" s="2596"/>
    </row>
    <row r="240" spans="1:2">
      <c r="A240" s="706" t="s">
        <v>1079</v>
      </c>
      <c r="B240" s="2596"/>
    </row>
    <row r="241" spans="1:2">
      <c r="A241" s="704" t="s">
        <v>1230</v>
      </c>
      <c r="B241" s="2596" t="s">
        <v>1231</v>
      </c>
    </row>
    <row r="242" spans="1:2">
      <c r="A242" s="705">
        <v>35879</v>
      </c>
      <c r="B242" s="2596"/>
    </row>
    <row r="243" spans="1:2">
      <c r="A243" s="706" t="s">
        <v>1079</v>
      </c>
      <c r="B243" s="2596"/>
    </row>
    <row r="244" spans="1:2">
      <c r="A244" s="704" t="s">
        <v>1232</v>
      </c>
      <c r="B244" s="2596" t="s">
        <v>1234</v>
      </c>
    </row>
    <row r="245" spans="1:2">
      <c r="A245" s="705">
        <v>36217</v>
      </c>
      <c r="B245" s="2596"/>
    </row>
    <row r="246" spans="1:2">
      <c r="A246" s="706" t="s">
        <v>1233</v>
      </c>
      <c r="B246" s="2596"/>
    </row>
    <row r="247" spans="1:2">
      <c r="A247" s="702" t="s">
        <v>1235</v>
      </c>
      <c r="B247" s="2596" t="s">
        <v>1236</v>
      </c>
    </row>
    <row r="248" spans="1:2">
      <c r="A248" s="703">
        <v>37309</v>
      </c>
      <c r="B248" s="2596"/>
    </row>
    <row r="249" spans="1:2">
      <c r="A249" s="702" t="s">
        <v>1087</v>
      </c>
      <c r="B249" s="2596"/>
    </row>
    <row r="250" spans="1:2" ht="21.6">
      <c r="A250" s="704" t="s">
        <v>1237</v>
      </c>
      <c r="B250" s="2596" t="s">
        <v>1238</v>
      </c>
    </row>
    <row r="251" spans="1:2">
      <c r="A251" s="705">
        <v>37678</v>
      </c>
      <c r="B251" s="2596"/>
    </row>
    <row r="252" spans="1:2">
      <c r="A252" s="705" t="s">
        <v>1422</v>
      </c>
      <c r="B252" s="2596"/>
    </row>
    <row r="253" spans="1:2">
      <c r="A253" s="706"/>
      <c r="B253" s="2596"/>
    </row>
    <row r="254" spans="1:2">
      <c r="A254" s="704" t="s">
        <v>1239</v>
      </c>
      <c r="B254" s="2596" t="s">
        <v>1240</v>
      </c>
    </row>
    <row r="255" spans="1:2">
      <c r="A255" s="705">
        <v>38036</v>
      </c>
      <c r="B255" s="2596"/>
    </row>
    <row r="256" spans="1:2">
      <c r="A256" s="706" t="s">
        <v>1404</v>
      </c>
      <c r="B256" s="2596"/>
    </row>
    <row r="257" spans="1:2">
      <c r="A257" s="704" t="s">
        <v>1241</v>
      </c>
      <c r="B257" s="2596" t="s">
        <v>1242</v>
      </c>
    </row>
    <row r="258" spans="1:2">
      <c r="A258" s="705">
        <v>38036</v>
      </c>
      <c r="B258" s="2596"/>
    </row>
    <row r="259" spans="1:2">
      <c r="A259" s="705" t="s">
        <v>1396</v>
      </c>
      <c r="B259" s="2596"/>
    </row>
    <row r="260" spans="1:2">
      <c r="A260" s="706"/>
      <c r="B260" s="2596"/>
    </row>
    <row r="261" spans="1:2">
      <c r="A261" s="704" t="s">
        <v>1243</v>
      </c>
      <c r="B261" s="2596" t="s">
        <v>1244</v>
      </c>
    </row>
    <row r="262" spans="1:2">
      <c r="A262" s="705">
        <v>38436</v>
      </c>
      <c r="B262" s="2596"/>
    </row>
    <row r="263" spans="1:2">
      <c r="A263" s="705" t="s">
        <v>1396</v>
      </c>
      <c r="B263" s="2596"/>
    </row>
    <row r="264" spans="1:2">
      <c r="A264" s="705"/>
      <c r="B264" s="2596"/>
    </row>
    <row r="265" spans="1:2">
      <c r="A265" s="706"/>
      <c r="B265" s="2596"/>
    </row>
    <row r="266" spans="1:2">
      <c r="A266" s="704" t="s">
        <v>1245</v>
      </c>
      <c r="B266" s="2596" t="s">
        <v>1246</v>
      </c>
    </row>
    <row r="267" spans="1:2">
      <c r="A267" s="705">
        <v>38803</v>
      </c>
      <c r="B267" s="2596"/>
    </row>
    <row r="268" spans="1:2">
      <c r="A268" s="705" t="s">
        <v>1405</v>
      </c>
      <c r="B268" s="2596"/>
    </row>
    <row r="269" spans="1:2">
      <c r="A269" s="705"/>
      <c r="B269" s="2596"/>
    </row>
    <row r="270" spans="1:2">
      <c r="A270" s="706"/>
      <c r="B270" s="2596"/>
    </row>
    <row r="271" spans="1:2">
      <c r="A271" s="704" t="s">
        <v>1247</v>
      </c>
      <c r="B271" s="2596" t="s">
        <v>1249</v>
      </c>
    </row>
    <row r="272" spans="1:2">
      <c r="A272" s="705">
        <v>38803</v>
      </c>
      <c r="B272" s="2596"/>
    </row>
    <row r="273" spans="1:2">
      <c r="A273" s="706" t="s">
        <v>1248</v>
      </c>
      <c r="B273" s="2596"/>
    </row>
    <row r="274" spans="1:2">
      <c r="A274" s="704" t="s">
        <v>1250</v>
      </c>
      <c r="B274" s="2596" t="s">
        <v>1252</v>
      </c>
    </row>
    <row r="275" spans="1:2">
      <c r="A275" s="705">
        <v>38803</v>
      </c>
      <c r="B275" s="2596"/>
    </row>
    <row r="276" spans="1:2">
      <c r="A276" s="706" t="s">
        <v>1251</v>
      </c>
      <c r="B276" s="2596"/>
    </row>
    <row r="277" spans="1:2">
      <c r="A277" s="704" t="s">
        <v>1253</v>
      </c>
      <c r="B277" s="2596" t="s">
        <v>1254</v>
      </c>
    </row>
    <row r="278" spans="1:2">
      <c r="A278" s="705">
        <v>38803</v>
      </c>
      <c r="B278" s="2596"/>
    </row>
    <row r="279" spans="1:2">
      <c r="A279" s="705" t="s">
        <v>1406</v>
      </c>
      <c r="B279" s="2596"/>
    </row>
    <row r="280" spans="1:2">
      <c r="A280" s="706"/>
      <c r="B280" s="2596"/>
    </row>
    <row r="281" spans="1:2">
      <c r="A281" s="704" t="s">
        <v>1255</v>
      </c>
      <c r="B281" s="2596" t="s">
        <v>1256</v>
      </c>
    </row>
    <row r="282" spans="1:2">
      <c r="A282" s="705">
        <v>38803</v>
      </c>
      <c r="B282" s="2596"/>
    </row>
    <row r="283" spans="1:2">
      <c r="A283" s="705" t="s">
        <v>1407</v>
      </c>
      <c r="B283" s="2596"/>
    </row>
    <row r="284" spans="1:2">
      <c r="A284" s="706"/>
      <c r="B284" s="2596"/>
    </row>
    <row r="285" spans="1:2">
      <c r="A285" s="704" t="s">
        <v>1257</v>
      </c>
      <c r="B285" s="2596" t="s">
        <v>1258</v>
      </c>
    </row>
    <row r="286" spans="1:2">
      <c r="A286" s="705">
        <v>38803</v>
      </c>
      <c r="B286" s="2596"/>
    </row>
    <row r="287" spans="1:2">
      <c r="A287" s="705" t="s">
        <v>1408</v>
      </c>
      <c r="B287" s="2596"/>
    </row>
    <row r="288" spans="1:2">
      <c r="A288" s="706"/>
      <c r="B288" s="2596"/>
    </row>
    <row r="289" spans="1:2">
      <c r="A289" s="704" t="s">
        <v>1259</v>
      </c>
      <c r="B289" s="2596" t="s">
        <v>1261</v>
      </c>
    </row>
    <row r="290" spans="1:2">
      <c r="A290" s="705">
        <v>38803</v>
      </c>
      <c r="B290" s="2596"/>
    </row>
    <row r="291" spans="1:2">
      <c r="A291" s="706" t="s">
        <v>1260</v>
      </c>
      <c r="B291" s="2596"/>
    </row>
    <row r="292" spans="1:2">
      <c r="A292" s="708" t="s">
        <v>1262</v>
      </c>
      <c r="B292" s="2596" t="s">
        <v>1263</v>
      </c>
    </row>
    <row r="293" spans="1:2">
      <c r="A293" s="705">
        <v>38803</v>
      </c>
      <c r="B293" s="2596"/>
    </row>
    <row r="294" spans="1:2">
      <c r="A294" s="705" t="s">
        <v>1409</v>
      </c>
      <c r="B294" s="2596"/>
    </row>
    <row r="295" spans="1:2">
      <c r="A295" s="705"/>
      <c r="B295" s="2596"/>
    </row>
    <row r="296" spans="1:2">
      <c r="A296" s="705"/>
      <c r="B296" s="2596"/>
    </row>
    <row r="297" spans="1:2">
      <c r="A297" s="706"/>
      <c r="B297" s="2596"/>
    </row>
    <row r="298" spans="1:2">
      <c r="A298" s="704" t="s">
        <v>1264</v>
      </c>
      <c r="B298" s="2596" t="s">
        <v>1266</v>
      </c>
    </row>
    <row r="299" spans="1:2">
      <c r="A299" s="705">
        <v>38803</v>
      </c>
      <c r="B299" s="2596"/>
    </row>
    <row r="300" spans="1:2">
      <c r="A300" s="706" t="s">
        <v>1265</v>
      </c>
      <c r="B300" s="2596"/>
    </row>
    <row r="301" spans="1:2">
      <c r="A301" s="704" t="s">
        <v>1267</v>
      </c>
      <c r="B301" s="2596" t="s">
        <v>1268</v>
      </c>
    </row>
    <row r="302" spans="1:2">
      <c r="A302" s="705">
        <v>38803</v>
      </c>
      <c r="B302" s="2596"/>
    </row>
    <row r="303" spans="1:2">
      <c r="A303" s="706" t="s">
        <v>1265</v>
      </c>
      <c r="B303" s="2596"/>
    </row>
    <row r="304" spans="1:2">
      <c r="A304" s="704" t="s">
        <v>1269</v>
      </c>
      <c r="B304" s="2596" t="s">
        <v>1270</v>
      </c>
    </row>
    <row r="305" spans="1:2">
      <c r="A305" s="705">
        <v>38803</v>
      </c>
      <c r="B305" s="2596"/>
    </row>
    <row r="306" spans="1:2">
      <c r="A306" s="706" t="s">
        <v>1265</v>
      </c>
      <c r="B306" s="2596"/>
    </row>
    <row r="307" spans="1:2">
      <c r="A307" s="704" t="s">
        <v>1271</v>
      </c>
      <c r="B307" s="2596" t="s">
        <v>1273</v>
      </c>
    </row>
    <row r="308" spans="1:2">
      <c r="A308" s="705">
        <v>38803</v>
      </c>
      <c r="B308" s="2596"/>
    </row>
    <row r="309" spans="1:2">
      <c r="A309" s="706" t="s">
        <v>1272</v>
      </c>
      <c r="B309" s="2596"/>
    </row>
    <row r="310" spans="1:2">
      <c r="A310" s="708" t="s">
        <v>1274</v>
      </c>
      <c r="B310" s="2596" t="s">
        <v>1275</v>
      </c>
    </row>
    <row r="311" spans="1:2">
      <c r="A311" s="705">
        <v>38803</v>
      </c>
      <c r="B311" s="2596"/>
    </row>
    <row r="312" spans="1:2">
      <c r="A312" s="706" t="s">
        <v>1272</v>
      </c>
      <c r="B312" s="2596"/>
    </row>
    <row r="313" spans="1:2">
      <c r="A313" s="704" t="s">
        <v>1276</v>
      </c>
      <c r="B313" s="2596" t="s">
        <v>1278</v>
      </c>
    </row>
    <row r="314" spans="1:2">
      <c r="A314" s="705">
        <v>38803</v>
      </c>
      <c r="B314" s="2596"/>
    </row>
    <row r="315" spans="1:2">
      <c r="A315" s="705" t="s">
        <v>1423</v>
      </c>
      <c r="B315" s="2596"/>
    </row>
    <row r="316" spans="1:2">
      <c r="A316" s="706"/>
      <c r="B316" s="2596"/>
    </row>
    <row r="317" spans="1:2">
      <c r="A317" s="704" t="s">
        <v>1279</v>
      </c>
      <c r="B317" s="2596" t="s">
        <v>1281</v>
      </c>
    </row>
    <row r="318" spans="1:2">
      <c r="A318" s="705">
        <v>38803</v>
      </c>
      <c r="B318" s="2596"/>
    </row>
    <row r="319" spans="1:2">
      <c r="A319" s="705" t="s">
        <v>1410</v>
      </c>
      <c r="B319" s="2596"/>
    </row>
    <row r="320" spans="1:2">
      <c r="A320" s="706"/>
      <c r="B320" s="2596"/>
    </row>
    <row r="321" spans="1:2">
      <c r="A321" s="704" t="s">
        <v>1282</v>
      </c>
      <c r="B321" s="2596" t="s">
        <v>1283</v>
      </c>
    </row>
    <row r="322" spans="1:2">
      <c r="A322" s="705">
        <v>38803</v>
      </c>
      <c r="B322" s="2596"/>
    </row>
    <row r="323" spans="1:2">
      <c r="A323" s="706" t="s">
        <v>1280</v>
      </c>
      <c r="B323" s="2596"/>
    </row>
    <row r="324" spans="1:2">
      <c r="A324" s="704" t="s">
        <v>1284</v>
      </c>
      <c r="B324" s="2596" t="s">
        <v>1285</v>
      </c>
    </row>
    <row r="325" spans="1:2">
      <c r="A325" s="705">
        <v>38803</v>
      </c>
      <c r="B325" s="2596"/>
    </row>
    <row r="326" spans="1:2">
      <c r="A326" s="706" t="s">
        <v>1099</v>
      </c>
      <c r="B326" s="2596"/>
    </row>
    <row r="327" spans="1:2">
      <c r="A327" s="704" t="s">
        <v>1286</v>
      </c>
      <c r="B327" s="2596" t="s">
        <v>1290</v>
      </c>
    </row>
    <row r="328" spans="1:2">
      <c r="A328" s="705">
        <v>38803</v>
      </c>
      <c r="B328" s="2596"/>
    </row>
    <row r="329" spans="1:2">
      <c r="A329" s="708" t="s">
        <v>1287</v>
      </c>
      <c r="B329" s="2596"/>
    </row>
    <row r="330" spans="1:2">
      <c r="A330" s="708" t="s">
        <v>1288</v>
      </c>
      <c r="B330" s="2596"/>
    </row>
    <row r="331" spans="1:2">
      <c r="A331" s="706" t="s">
        <v>1289</v>
      </c>
      <c r="B331" s="2596"/>
    </row>
    <row r="332" spans="1:2">
      <c r="A332" s="704" t="s">
        <v>1291</v>
      </c>
      <c r="B332" s="2596" t="s">
        <v>1292</v>
      </c>
    </row>
    <row r="333" spans="1:2">
      <c r="A333" s="705">
        <v>38803</v>
      </c>
      <c r="B333" s="2596"/>
    </row>
    <row r="334" spans="1:2">
      <c r="A334" s="706" t="s">
        <v>1099</v>
      </c>
      <c r="B334" s="2596"/>
    </row>
    <row r="335" spans="1:2">
      <c r="A335" s="704" t="s">
        <v>1293</v>
      </c>
      <c r="B335" s="2596" t="s">
        <v>1295</v>
      </c>
    </row>
    <row r="336" spans="1:2">
      <c r="A336" s="705">
        <v>38803</v>
      </c>
      <c r="B336" s="2596"/>
    </row>
    <row r="337" spans="1:2">
      <c r="A337" s="706" t="s">
        <v>1294</v>
      </c>
      <c r="B337" s="2596"/>
    </row>
    <row r="338" spans="1:2">
      <c r="A338" s="704" t="s">
        <v>1296</v>
      </c>
      <c r="B338" s="2596" t="s">
        <v>1297</v>
      </c>
    </row>
    <row r="339" spans="1:2">
      <c r="A339" s="705">
        <v>38803</v>
      </c>
      <c r="B339" s="2596"/>
    </row>
    <row r="340" spans="1:2">
      <c r="A340" s="706" t="s">
        <v>1294</v>
      </c>
      <c r="B340" s="2596"/>
    </row>
    <row r="341" spans="1:2">
      <c r="A341" s="704" t="s">
        <v>1298</v>
      </c>
      <c r="B341" s="2596" t="s">
        <v>1301</v>
      </c>
    </row>
    <row r="342" spans="1:2">
      <c r="A342" s="708" t="s">
        <v>1299</v>
      </c>
      <c r="B342" s="2596"/>
    </row>
    <row r="343" spans="1:2">
      <c r="A343" s="706" t="s">
        <v>1300</v>
      </c>
      <c r="B343" s="2596"/>
    </row>
    <row r="344" spans="1:2">
      <c r="A344" s="704" t="s">
        <v>1302</v>
      </c>
      <c r="B344" s="2596" t="s">
        <v>1303</v>
      </c>
    </row>
    <row r="345" spans="1:2">
      <c r="A345" s="705">
        <v>42453</v>
      </c>
      <c r="B345" s="2596"/>
    </row>
    <row r="346" spans="1:2">
      <c r="A346" s="708" t="s">
        <v>1154</v>
      </c>
      <c r="B346" s="2596"/>
    </row>
    <row r="347" spans="1:2">
      <c r="A347" s="710"/>
      <c r="B347" s="2596"/>
    </row>
    <row r="348" spans="1:2">
      <c r="A348" s="704" t="s">
        <v>1304</v>
      </c>
      <c r="B348" s="2596" t="s">
        <v>1305</v>
      </c>
    </row>
    <row r="349" spans="1:2">
      <c r="A349" s="705">
        <v>42453</v>
      </c>
      <c r="B349" s="2596"/>
    </row>
    <row r="350" spans="1:2">
      <c r="A350" s="705" t="s">
        <v>1396</v>
      </c>
      <c r="B350" s="2596"/>
    </row>
    <row r="351" spans="1:2">
      <c r="A351" s="706"/>
      <c r="B351" s="2596"/>
    </row>
    <row r="352" spans="1:2">
      <c r="A352" s="712" t="s">
        <v>1306</v>
      </c>
      <c r="B352" s="717"/>
    </row>
    <row r="353" spans="1:2">
      <c r="A353" s="704" t="s">
        <v>1307</v>
      </c>
      <c r="B353" s="2596" t="s">
        <v>1308</v>
      </c>
    </row>
    <row r="354" spans="1:2">
      <c r="A354" s="705">
        <v>27499</v>
      </c>
      <c r="B354" s="2596"/>
    </row>
    <row r="355" spans="1:2">
      <c r="A355" s="706" t="s">
        <v>1149</v>
      </c>
      <c r="B355" s="2596"/>
    </row>
    <row r="356" spans="1:2">
      <c r="A356" s="704" t="s">
        <v>1309</v>
      </c>
      <c r="B356" s="2596" t="s">
        <v>1310</v>
      </c>
    </row>
    <row r="357" spans="1:2">
      <c r="A357" s="705">
        <v>35513</v>
      </c>
      <c r="B357" s="2596"/>
    </row>
    <row r="358" spans="1:2">
      <c r="A358" s="705" t="s">
        <v>1425</v>
      </c>
      <c r="B358" s="2596"/>
    </row>
    <row r="359" spans="1:2">
      <c r="A359" s="706"/>
      <c r="B359" s="2596"/>
    </row>
    <row r="360" spans="1:2">
      <c r="A360" s="704" t="s">
        <v>1311</v>
      </c>
      <c r="B360" s="2596" t="s">
        <v>1312</v>
      </c>
    </row>
    <row r="361" spans="1:2">
      <c r="A361" s="705">
        <v>35513</v>
      </c>
      <c r="B361" s="2596"/>
    </row>
    <row r="362" spans="1:2">
      <c r="A362" s="705" t="s">
        <v>1411</v>
      </c>
      <c r="B362" s="2596"/>
    </row>
    <row r="363" spans="1:2">
      <c r="A363" s="706"/>
      <c r="B363" s="2596"/>
    </row>
    <row r="364" spans="1:2">
      <c r="A364" s="704" t="s">
        <v>1313</v>
      </c>
      <c r="B364" s="2596" t="s">
        <v>1314</v>
      </c>
    </row>
    <row r="365" spans="1:2">
      <c r="A365" s="705">
        <v>38803</v>
      </c>
      <c r="B365" s="2596"/>
    </row>
    <row r="366" spans="1:2">
      <c r="A366" s="706" t="s">
        <v>1277</v>
      </c>
      <c r="B366" s="2596"/>
    </row>
    <row r="367" spans="1:2">
      <c r="A367" s="712" t="s">
        <v>1315</v>
      </c>
      <c r="B367" s="717"/>
    </row>
    <row r="368" spans="1:2">
      <c r="A368" s="704" t="s">
        <v>1316</v>
      </c>
      <c r="B368" s="2596" t="s">
        <v>1318</v>
      </c>
    </row>
    <row r="369" spans="1:2">
      <c r="A369" s="705">
        <v>30961</v>
      </c>
      <c r="B369" s="2596"/>
    </row>
    <row r="370" spans="1:2">
      <c r="A370" s="706" t="s">
        <v>1317</v>
      </c>
      <c r="B370" s="2596"/>
    </row>
    <row r="371" spans="1:2">
      <c r="A371" s="704" t="s">
        <v>1319</v>
      </c>
      <c r="B371" s="2596" t="s">
        <v>1320</v>
      </c>
    </row>
    <row r="372" spans="1:2">
      <c r="A372" s="705">
        <v>35149</v>
      </c>
      <c r="B372" s="2596"/>
    </row>
    <row r="373" spans="1:2">
      <c r="A373" s="705" t="s">
        <v>1424</v>
      </c>
      <c r="B373" s="2596"/>
    </row>
    <row r="374" spans="1:2">
      <c r="A374" s="706"/>
      <c r="B374" s="2596"/>
    </row>
    <row r="375" spans="1:2">
      <c r="A375" s="704" t="s">
        <v>1321</v>
      </c>
      <c r="B375" s="2596" t="s">
        <v>1322</v>
      </c>
    </row>
    <row r="376" spans="1:2">
      <c r="A376" s="705">
        <v>38803</v>
      </c>
      <c r="B376" s="2596"/>
    </row>
    <row r="377" spans="1:2">
      <c r="A377" s="705" t="s">
        <v>1412</v>
      </c>
      <c r="B377" s="2596"/>
    </row>
    <row r="378" spans="1:2">
      <c r="A378" s="706"/>
      <c r="B378" s="2596"/>
    </row>
    <row r="379" spans="1:2">
      <c r="A379" s="704" t="s">
        <v>1323</v>
      </c>
      <c r="B379" s="2596" t="s">
        <v>1324</v>
      </c>
    </row>
    <row r="380" spans="1:2">
      <c r="A380" s="705">
        <v>38803</v>
      </c>
      <c r="B380" s="2596"/>
    </row>
    <row r="381" spans="1:2">
      <c r="A381" s="705" t="s">
        <v>1413</v>
      </c>
      <c r="B381" s="2596"/>
    </row>
    <row r="382" spans="1:2">
      <c r="A382" s="705"/>
      <c r="B382" s="2596"/>
    </row>
    <row r="383" spans="1:2">
      <c r="A383" s="706"/>
      <c r="B383" s="2596"/>
    </row>
    <row r="384" spans="1:2">
      <c r="A384" s="704" t="s">
        <v>1325</v>
      </c>
      <c r="B384" s="2596" t="s">
        <v>1326</v>
      </c>
    </row>
    <row r="385" spans="1:2">
      <c r="A385" s="705">
        <v>38803</v>
      </c>
      <c r="B385" s="2596"/>
    </row>
    <row r="386" spans="1:2">
      <c r="A386" s="705" t="s">
        <v>1414</v>
      </c>
      <c r="B386" s="2596"/>
    </row>
    <row r="387" spans="1:2">
      <c r="A387" s="706"/>
      <c r="B387" s="2596"/>
    </row>
    <row r="388" spans="1:2">
      <c r="A388" s="704" t="s">
        <v>1327</v>
      </c>
      <c r="B388" s="2596" t="s">
        <v>1329</v>
      </c>
    </row>
    <row r="389" spans="1:2">
      <c r="A389" s="705">
        <v>38803</v>
      </c>
      <c r="B389" s="2596"/>
    </row>
    <row r="390" spans="1:2">
      <c r="A390" s="706" t="s">
        <v>1328</v>
      </c>
      <c r="B390" s="2596"/>
    </row>
    <row r="391" spans="1:2">
      <c r="A391" s="712" t="s">
        <v>1330</v>
      </c>
      <c r="B391" s="717"/>
    </row>
    <row r="392" spans="1:2">
      <c r="A392" s="704" t="s">
        <v>1331</v>
      </c>
      <c r="B392" s="2596" t="s">
        <v>1333</v>
      </c>
    </row>
    <row r="393" spans="1:2">
      <c r="A393" s="705">
        <v>26277</v>
      </c>
      <c r="B393" s="2596"/>
    </row>
    <row r="394" spans="1:2">
      <c r="A394" s="706" t="s">
        <v>1332</v>
      </c>
      <c r="B394" s="2596"/>
    </row>
    <row r="395" spans="1:2">
      <c r="A395" s="704" t="s">
        <v>1334</v>
      </c>
      <c r="B395" s="2596" t="s">
        <v>1336</v>
      </c>
    </row>
    <row r="396" spans="1:2">
      <c r="A396" s="705">
        <v>32156</v>
      </c>
      <c r="B396" s="2596"/>
    </row>
    <row r="397" spans="1:2">
      <c r="A397" s="706" t="s">
        <v>1335</v>
      </c>
      <c r="B397" s="2596"/>
    </row>
    <row r="398" spans="1:2">
      <c r="A398" s="704" t="s">
        <v>1337</v>
      </c>
      <c r="B398" s="2596" t="s">
        <v>1339</v>
      </c>
    </row>
    <row r="399" spans="1:2">
      <c r="A399" s="705">
        <v>33169</v>
      </c>
      <c r="B399" s="2596"/>
    </row>
    <row r="400" spans="1:2">
      <c r="A400" s="706" t="s">
        <v>1338</v>
      </c>
      <c r="B400" s="2596"/>
    </row>
    <row r="401" spans="1:2">
      <c r="A401" s="704" t="s">
        <v>1340</v>
      </c>
      <c r="B401" s="2596" t="s">
        <v>1342</v>
      </c>
    </row>
    <row r="402" spans="1:2">
      <c r="A402" s="705">
        <v>33389</v>
      </c>
      <c r="B402" s="2596"/>
    </row>
    <row r="403" spans="1:2">
      <c r="A403" s="706" t="s">
        <v>1341</v>
      </c>
      <c r="B403" s="2596"/>
    </row>
    <row r="404" spans="1:2">
      <c r="A404" s="704" t="s">
        <v>1343</v>
      </c>
      <c r="B404" s="2596" t="s">
        <v>1344</v>
      </c>
    </row>
    <row r="405" spans="1:2">
      <c r="A405" s="705">
        <v>33743</v>
      </c>
      <c r="B405" s="2596"/>
    </row>
    <row r="406" spans="1:2">
      <c r="A406" s="708" t="s">
        <v>1415</v>
      </c>
      <c r="B406" s="2596"/>
    </row>
    <row r="407" spans="1:2">
      <c r="A407" s="708" t="s">
        <v>1416</v>
      </c>
      <c r="B407" s="2596"/>
    </row>
    <row r="408" spans="1:2">
      <c r="A408" s="705">
        <v>33743</v>
      </c>
      <c r="B408" s="2596"/>
    </row>
    <row r="409" spans="1:2">
      <c r="A409" s="706" t="s">
        <v>1417</v>
      </c>
      <c r="B409" s="2596"/>
    </row>
    <row r="410" spans="1:2">
      <c r="A410" s="704" t="s">
        <v>1345</v>
      </c>
      <c r="B410" s="2596" t="s">
        <v>1347</v>
      </c>
    </row>
    <row r="411" spans="1:2">
      <c r="A411" s="705">
        <v>34145</v>
      </c>
      <c r="B411" s="2596"/>
    </row>
    <row r="412" spans="1:2">
      <c r="A412" s="706" t="s">
        <v>1346</v>
      </c>
      <c r="B412" s="2596"/>
    </row>
    <row r="413" spans="1:2">
      <c r="A413" s="704" t="s">
        <v>1348</v>
      </c>
      <c r="B413" s="2596" t="s">
        <v>1350</v>
      </c>
    </row>
    <row r="414" spans="1:2">
      <c r="A414" s="705">
        <v>34452</v>
      </c>
      <c r="B414" s="2596"/>
    </row>
    <row r="415" spans="1:2">
      <c r="A415" s="706" t="s">
        <v>1349</v>
      </c>
      <c r="B415" s="2596"/>
    </row>
    <row r="416" spans="1:2">
      <c r="A416" s="704" t="s">
        <v>1351</v>
      </c>
      <c r="B416" s="2596" t="s">
        <v>1352</v>
      </c>
    </row>
    <row r="417" spans="1:2">
      <c r="A417" s="705">
        <v>34452</v>
      </c>
      <c r="B417" s="2596"/>
    </row>
    <row r="418" spans="1:2">
      <c r="A418" s="705" t="s">
        <v>1427</v>
      </c>
      <c r="B418" s="2596"/>
    </row>
    <row r="419" spans="1:2">
      <c r="A419" s="706"/>
      <c r="B419" s="2596"/>
    </row>
    <row r="420" spans="1:2">
      <c r="A420" s="704" t="s">
        <v>1353</v>
      </c>
      <c r="B420" s="2596" t="s">
        <v>1354</v>
      </c>
    </row>
    <row r="421" spans="1:2">
      <c r="A421" s="705">
        <v>34815</v>
      </c>
      <c r="B421" s="2596"/>
    </row>
    <row r="422" spans="1:2">
      <c r="A422" s="705" t="s">
        <v>1426</v>
      </c>
      <c r="B422" s="2596"/>
    </row>
    <row r="423" spans="1:2">
      <c r="A423" s="706"/>
      <c r="B423" s="2596"/>
    </row>
    <row r="424" spans="1:2">
      <c r="A424" s="704" t="s">
        <v>1355</v>
      </c>
      <c r="B424" s="2596" t="s">
        <v>1357</v>
      </c>
    </row>
    <row r="425" spans="1:2">
      <c r="A425" s="705">
        <v>34815</v>
      </c>
      <c r="B425" s="2596"/>
    </row>
    <row r="426" spans="1:2">
      <c r="A426" s="706" t="s">
        <v>1356</v>
      </c>
      <c r="B426" s="2596"/>
    </row>
    <row r="427" spans="1:2">
      <c r="A427" s="704" t="s">
        <v>1358</v>
      </c>
      <c r="B427" s="2596" t="s">
        <v>1360</v>
      </c>
    </row>
    <row r="428" spans="1:2">
      <c r="A428" s="705">
        <v>35513</v>
      </c>
      <c r="B428" s="2596"/>
    </row>
    <row r="429" spans="1:2">
      <c r="A429" s="706" t="s">
        <v>1359</v>
      </c>
      <c r="B429" s="2596"/>
    </row>
    <row r="430" spans="1:2">
      <c r="A430" s="704" t="s">
        <v>1361</v>
      </c>
      <c r="B430" s="2596" t="s">
        <v>1363</v>
      </c>
    </row>
    <row r="431" spans="1:2">
      <c r="A431" s="705">
        <v>35513</v>
      </c>
      <c r="B431" s="2596"/>
    </row>
    <row r="432" spans="1:2">
      <c r="A432" s="706" t="s">
        <v>1362</v>
      </c>
      <c r="B432" s="2596"/>
    </row>
    <row r="433" spans="1:2">
      <c r="A433" s="704" t="s">
        <v>1364</v>
      </c>
      <c r="B433" s="2596" t="s">
        <v>1366</v>
      </c>
    </row>
    <row r="434" spans="1:2">
      <c r="A434" s="705">
        <v>35879</v>
      </c>
      <c r="B434" s="2596"/>
    </row>
    <row r="435" spans="1:2">
      <c r="A435" s="706" t="s">
        <v>1365</v>
      </c>
      <c r="B435" s="2596"/>
    </row>
    <row r="436" spans="1:2">
      <c r="A436" s="704" t="s">
        <v>1367</v>
      </c>
      <c r="B436" s="2596" t="s">
        <v>1369</v>
      </c>
    </row>
    <row r="437" spans="1:2">
      <c r="A437" s="705">
        <v>38036</v>
      </c>
      <c r="B437" s="2596"/>
    </row>
    <row r="438" spans="1:2">
      <c r="A438" s="706" t="s">
        <v>1368</v>
      </c>
      <c r="B438" s="2596"/>
    </row>
    <row r="439" spans="1:2">
      <c r="A439" s="704" t="s">
        <v>1370</v>
      </c>
      <c r="B439" s="2596" t="s">
        <v>1372</v>
      </c>
    </row>
    <row r="440" spans="1:2">
      <c r="A440" s="705">
        <v>38803</v>
      </c>
      <c r="B440" s="2596"/>
    </row>
    <row r="441" spans="1:2">
      <c r="A441" s="706" t="s">
        <v>1371</v>
      </c>
      <c r="B441" s="2596"/>
    </row>
    <row r="442" spans="1:2">
      <c r="A442" s="704" t="s">
        <v>1373</v>
      </c>
      <c r="B442" s="2596" t="s">
        <v>1374</v>
      </c>
    </row>
    <row r="443" spans="1:2">
      <c r="A443" s="705">
        <v>38803</v>
      </c>
      <c r="B443" s="2596"/>
    </row>
    <row r="444" spans="1:2">
      <c r="A444" s="706" t="s">
        <v>1277</v>
      </c>
      <c r="B444" s="2596"/>
    </row>
    <row r="445" spans="1:2">
      <c r="A445" s="704" t="s">
        <v>1375</v>
      </c>
      <c r="B445" s="2596" t="s">
        <v>1377</v>
      </c>
    </row>
    <row r="446" spans="1:2">
      <c r="A446" s="705">
        <v>38803</v>
      </c>
      <c r="B446" s="2596"/>
    </row>
    <row r="447" spans="1:2">
      <c r="A447" s="706" t="s">
        <v>1376</v>
      </c>
      <c r="B447" s="2596"/>
    </row>
    <row r="448" spans="1:2">
      <c r="A448" s="712" t="s">
        <v>1330</v>
      </c>
      <c r="B448" s="721" t="s">
        <v>1378</v>
      </c>
    </row>
    <row r="449" spans="1:2">
      <c r="A449" s="704" t="s">
        <v>1379</v>
      </c>
      <c r="B449" s="2596" t="s">
        <v>1380</v>
      </c>
    </row>
    <row r="450" spans="1:2">
      <c r="A450" s="705">
        <v>31838</v>
      </c>
      <c r="B450" s="2596"/>
    </row>
    <row r="451" spans="1:2">
      <c r="A451" s="707"/>
      <c r="B451" s="2596"/>
    </row>
    <row r="452" spans="1:2">
      <c r="A452" s="704" t="s">
        <v>1381</v>
      </c>
      <c r="B452" s="2596" t="s">
        <v>1382</v>
      </c>
    </row>
    <row r="453" spans="1:2">
      <c r="A453" s="705">
        <v>31838</v>
      </c>
      <c r="B453" s="2596"/>
    </row>
    <row r="454" spans="1:2">
      <c r="A454" s="707"/>
      <c r="B454" s="2596"/>
    </row>
    <row r="455" spans="1:2">
      <c r="A455" s="704" t="s">
        <v>1383</v>
      </c>
      <c r="B455" s="2596" t="s">
        <v>1384</v>
      </c>
    </row>
    <row r="456" spans="1:2">
      <c r="A456" s="705">
        <v>37069</v>
      </c>
      <c r="B456" s="2596"/>
    </row>
    <row r="457" spans="1:2">
      <c r="A457" s="707"/>
      <c r="B457" s="2596"/>
    </row>
  </sheetData>
  <mergeCells count="118">
    <mergeCell ref="B449:B451"/>
    <mergeCell ref="B452:B454"/>
    <mergeCell ref="B455:B457"/>
    <mergeCell ref="B40:B44"/>
    <mergeCell ref="B430:B432"/>
    <mergeCell ref="B433:B435"/>
    <mergeCell ref="B436:B438"/>
    <mergeCell ref="B439:B441"/>
    <mergeCell ref="B442:B444"/>
    <mergeCell ref="B445:B447"/>
    <mergeCell ref="B410:B412"/>
    <mergeCell ref="B413:B415"/>
    <mergeCell ref="B416:B419"/>
    <mergeCell ref="B420:B423"/>
    <mergeCell ref="B424:B426"/>
    <mergeCell ref="B427:B429"/>
    <mergeCell ref="B388:B390"/>
    <mergeCell ref="B392:B394"/>
    <mergeCell ref="B395:B397"/>
    <mergeCell ref="B398:B400"/>
    <mergeCell ref="B401:B403"/>
    <mergeCell ref="B404:B409"/>
    <mergeCell ref="B364:B366"/>
    <mergeCell ref="B368:B370"/>
    <mergeCell ref="B371:B374"/>
    <mergeCell ref="B375:B378"/>
    <mergeCell ref="B379:B383"/>
    <mergeCell ref="B384:B387"/>
    <mergeCell ref="B341:B343"/>
    <mergeCell ref="B344:B347"/>
    <mergeCell ref="B348:B351"/>
    <mergeCell ref="B353:B355"/>
    <mergeCell ref="B356:B359"/>
    <mergeCell ref="B360:B363"/>
    <mergeCell ref="B321:B323"/>
    <mergeCell ref="B324:B326"/>
    <mergeCell ref="B327:B331"/>
    <mergeCell ref="B332:B334"/>
    <mergeCell ref="B335:B337"/>
    <mergeCell ref="B338:B340"/>
    <mergeCell ref="B301:B303"/>
    <mergeCell ref="B304:B306"/>
    <mergeCell ref="B307:B309"/>
    <mergeCell ref="B310:B312"/>
    <mergeCell ref="B313:B316"/>
    <mergeCell ref="B317:B320"/>
    <mergeCell ref="B277:B280"/>
    <mergeCell ref="B281:B284"/>
    <mergeCell ref="B285:B288"/>
    <mergeCell ref="B289:B291"/>
    <mergeCell ref="B292:B297"/>
    <mergeCell ref="B298:B300"/>
    <mergeCell ref="B254:B256"/>
    <mergeCell ref="B257:B260"/>
    <mergeCell ref="B261:B265"/>
    <mergeCell ref="B266:B270"/>
    <mergeCell ref="B271:B273"/>
    <mergeCell ref="B274:B276"/>
    <mergeCell ref="B235:B237"/>
    <mergeCell ref="B238:B240"/>
    <mergeCell ref="B241:B243"/>
    <mergeCell ref="B244:B246"/>
    <mergeCell ref="B247:B249"/>
    <mergeCell ref="B250:B253"/>
    <mergeCell ref="B212:B215"/>
    <mergeCell ref="B216:B218"/>
    <mergeCell ref="B219:B222"/>
    <mergeCell ref="B223:B226"/>
    <mergeCell ref="B227:B230"/>
    <mergeCell ref="B231:B234"/>
    <mergeCell ref="B192:B195"/>
    <mergeCell ref="B196:B198"/>
    <mergeCell ref="B199:B201"/>
    <mergeCell ref="B202:B204"/>
    <mergeCell ref="B205:B207"/>
    <mergeCell ref="B208:B211"/>
    <mergeCell ref="B157:B161"/>
    <mergeCell ref="B162:B165"/>
    <mergeCell ref="B179:B181"/>
    <mergeCell ref="B182:B185"/>
    <mergeCell ref="B186:B188"/>
    <mergeCell ref="B189:B191"/>
    <mergeCell ref="B127:B130"/>
    <mergeCell ref="B131:B134"/>
    <mergeCell ref="B136:B142"/>
    <mergeCell ref="B144:B148"/>
    <mergeCell ref="B149:B152"/>
    <mergeCell ref="B153:B156"/>
    <mergeCell ref="B100:B104"/>
    <mergeCell ref="B105:B109"/>
    <mergeCell ref="B110:B113"/>
    <mergeCell ref="B114:B117"/>
    <mergeCell ref="B118:B121"/>
    <mergeCell ref="B123:B126"/>
    <mergeCell ref="B79:B81"/>
    <mergeCell ref="B82:B84"/>
    <mergeCell ref="B87:B89"/>
    <mergeCell ref="B90:B92"/>
    <mergeCell ref="B93:B95"/>
    <mergeCell ref="B96:B99"/>
    <mergeCell ref="B57:B58"/>
    <mergeCell ref="B61:B64"/>
    <mergeCell ref="B65:B67"/>
    <mergeCell ref="B68:B72"/>
    <mergeCell ref="B73:B75"/>
    <mergeCell ref="B76:B78"/>
    <mergeCell ref="B31:B35"/>
    <mergeCell ref="B36:B39"/>
    <mergeCell ref="B46:B48"/>
    <mergeCell ref="B50:B51"/>
    <mergeCell ref="B52:B53"/>
    <mergeCell ref="B55:B56"/>
    <mergeCell ref="B6:B10"/>
    <mergeCell ref="B12:B15"/>
    <mergeCell ref="B16:B19"/>
    <mergeCell ref="B20:B22"/>
    <mergeCell ref="B23:B26"/>
    <mergeCell ref="B27:B30"/>
  </mergeCells>
  <phoneticPr fontId="4"/>
  <pageMargins left="0.7" right="0.7" top="0.75" bottom="0.75" header="0.3" footer="0.3"/>
  <pageSetup paperSize="9" scale="87" orientation="portrait" r:id="rId1"/>
  <rowBreaks count="10" manualBreakCount="10">
    <brk id="39" max="16383" man="1"/>
    <brk id="78" max="16383" man="1"/>
    <brk id="121" max="16383" man="1"/>
    <brk id="165" max="16383" man="1"/>
    <brk id="207" max="16383" man="1"/>
    <brk id="249" max="16383" man="1"/>
    <brk id="291" max="16383" man="1"/>
    <brk id="334" max="16383" man="1"/>
    <brk id="378" max="1" man="1"/>
    <brk id="419"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B757-D703-4B60-8024-B8F19B10F091}">
  <sheetPr codeName="Sheet116"/>
  <dimension ref="A1:J12"/>
  <sheetViews>
    <sheetView workbookViewId="0"/>
  </sheetViews>
  <sheetFormatPr defaultColWidth="5.8984375" defaultRowHeight="10.8"/>
  <cols>
    <col min="1" max="1" width="9.3984375" style="1236" customWidth="1"/>
    <col min="2" max="9" width="8.796875" style="1236" customWidth="1"/>
    <col min="10" max="16384" width="5.8984375" style="1236"/>
  </cols>
  <sheetData>
    <row r="1" spans="1:10" ht="30" customHeight="1" thickBot="1">
      <c r="A1" s="1481" t="s">
        <v>2988</v>
      </c>
    </row>
    <row r="2" spans="1:10" s="1434" customFormat="1">
      <c r="A2" s="2522" t="s">
        <v>1498</v>
      </c>
      <c r="B2" s="2390" t="s">
        <v>2989</v>
      </c>
      <c r="C2" s="2395"/>
      <c r="D2" s="2393"/>
      <c r="E2" s="2390" t="s">
        <v>2990</v>
      </c>
      <c r="F2" s="2395"/>
      <c r="G2" s="2393"/>
      <c r="H2" s="2503" t="s">
        <v>2991</v>
      </c>
      <c r="I2" s="2600" t="s">
        <v>2992</v>
      </c>
    </row>
    <row r="3" spans="1:10" s="1434" customFormat="1">
      <c r="A3" s="2523"/>
      <c r="B3" s="2601" t="s">
        <v>2993</v>
      </c>
      <c r="C3" s="1647"/>
      <c r="D3" s="2500" t="s">
        <v>2994</v>
      </c>
      <c r="E3" s="2601" t="s">
        <v>2995</v>
      </c>
      <c r="F3" s="1469"/>
      <c r="G3" s="2500" t="s">
        <v>2996</v>
      </c>
      <c r="H3" s="2440"/>
      <c r="I3" s="2445"/>
    </row>
    <row r="4" spans="1:10" s="1434" customFormat="1">
      <c r="A4" s="2471"/>
      <c r="B4" s="2602"/>
      <c r="C4" s="1650" t="s">
        <v>2997</v>
      </c>
      <c r="D4" s="2603"/>
      <c r="E4" s="2602"/>
      <c r="F4" s="1650" t="s">
        <v>2997</v>
      </c>
      <c r="G4" s="2603"/>
      <c r="H4" s="2441"/>
      <c r="I4" s="2446"/>
      <c r="J4" s="2846"/>
    </row>
    <row r="5" spans="1:10" s="1434" customFormat="1">
      <c r="B5" s="1651" t="s">
        <v>167</v>
      </c>
      <c r="C5" s="1651" t="s">
        <v>167</v>
      </c>
      <c r="D5" s="1651" t="s">
        <v>167</v>
      </c>
      <c r="E5" s="1651" t="s">
        <v>167</v>
      </c>
      <c r="F5" s="1651" t="s">
        <v>167</v>
      </c>
      <c r="G5" s="1651" t="s">
        <v>167</v>
      </c>
      <c r="H5" s="1652" t="s">
        <v>230</v>
      </c>
      <c r="I5" s="1653" t="s">
        <v>230</v>
      </c>
    </row>
    <row r="6" spans="1:10" s="1434" customFormat="1" ht="19.8" customHeight="1">
      <c r="A6" s="1654" t="s">
        <v>2940</v>
      </c>
      <c r="B6" s="1655">
        <v>2612</v>
      </c>
      <c r="C6" s="1655">
        <v>2387</v>
      </c>
      <c r="D6" s="1655">
        <v>11339</v>
      </c>
      <c r="E6" s="1655">
        <v>3959</v>
      </c>
      <c r="F6" s="1655">
        <v>3025</v>
      </c>
      <c r="G6" s="1655">
        <v>11028</v>
      </c>
      <c r="H6" s="1655">
        <v>2426</v>
      </c>
      <c r="I6" s="1656">
        <v>836</v>
      </c>
    </row>
    <row r="7" spans="1:10" s="1434" customFormat="1" ht="19.8" customHeight="1">
      <c r="A7" s="1654">
        <v>3</v>
      </c>
      <c r="B7" s="1655">
        <v>2554</v>
      </c>
      <c r="C7" s="1655">
        <v>2298</v>
      </c>
      <c r="D7" s="1655">
        <v>10695</v>
      </c>
      <c r="E7" s="1655">
        <v>4462</v>
      </c>
      <c r="F7" s="1655">
        <v>3673</v>
      </c>
      <c r="G7" s="1655">
        <v>12411</v>
      </c>
      <c r="H7" s="1655">
        <v>2236</v>
      </c>
      <c r="I7" s="1656">
        <v>872</v>
      </c>
    </row>
    <row r="8" spans="1:10" s="1434" customFormat="1" ht="19.8" customHeight="1">
      <c r="A8" s="1654">
        <v>4</v>
      </c>
      <c r="B8" s="1655">
        <v>2357</v>
      </c>
      <c r="C8" s="1655">
        <v>2127</v>
      </c>
      <c r="D8" s="1655">
        <v>9990</v>
      </c>
      <c r="E8" s="1655">
        <v>5238</v>
      </c>
      <c r="F8" s="1655">
        <v>4313</v>
      </c>
      <c r="G8" s="1655">
        <v>15040</v>
      </c>
      <c r="H8" s="1655">
        <v>1695</v>
      </c>
      <c r="I8" s="1656">
        <v>754</v>
      </c>
    </row>
    <row r="9" spans="1:10" s="1434" customFormat="1" ht="19.8" customHeight="1">
      <c r="A9" s="1654">
        <v>5</v>
      </c>
      <c r="B9" s="1655">
        <v>2284</v>
      </c>
      <c r="C9" s="1655">
        <v>2084</v>
      </c>
      <c r="D9" s="1655">
        <v>9490</v>
      </c>
      <c r="E9" s="1655">
        <v>5052</v>
      </c>
      <c r="F9" s="1655">
        <v>4209</v>
      </c>
      <c r="G9" s="1655">
        <v>14494</v>
      </c>
      <c r="H9" s="1655">
        <v>1644</v>
      </c>
      <c r="I9" s="1656">
        <v>707</v>
      </c>
    </row>
    <row r="10" spans="1:10" s="1434" customFormat="1" ht="19.8" customHeight="1" thickBot="1">
      <c r="A10" s="1657"/>
      <c r="B10" s="1658"/>
      <c r="C10" s="1658"/>
      <c r="D10" s="1658"/>
      <c r="E10" s="1658"/>
      <c r="F10" s="1658"/>
      <c r="G10" s="1658"/>
      <c r="H10" s="1658"/>
      <c r="I10" s="1659"/>
    </row>
    <row r="11" spans="1:10" ht="16.8" customHeight="1">
      <c r="A11" s="1236" t="s">
        <v>2998</v>
      </c>
      <c r="D11" s="1236" t="s">
        <v>2999</v>
      </c>
    </row>
    <row r="12" spans="1:10" ht="16.8" customHeight="1">
      <c r="D12" s="1236" t="s">
        <v>3000</v>
      </c>
    </row>
  </sheetData>
  <mergeCells count="9">
    <mergeCell ref="A2:A4"/>
    <mergeCell ref="B2:D2"/>
    <mergeCell ref="E2:G2"/>
    <mergeCell ref="H2:H4"/>
    <mergeCell ref="I2:I4"/>
    <mergeCell ref="B3:B4"/>
    <mergeCell ref="D3:D4"/>
    <mergeCell ref="E3:E4"/>
    <mergeCell ref="G3:G4"/>
  </mergeCells>
  <phoneticPr fontId="4"/>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18682-2848-468E-8447-97B4EC1909F7}">
  <sheetPr codeName="Sheet117"/>
  <dimension ref="A1:K11"/>
  <sheetViews>
    <sheetView zoomScaleNormal="100" workbookViewId="0"/>
  </sheetViews>
  <sheetFormatPr defaultColWidth="8.09765625" defaultRowHeight="10.8"/>
  <cols>
    <col min="1" max="1" width="7.8984375" style="1236" customWidth="1"/>
    <col min="2" max="2" width="5.5" style="1236" customWidth="1"/>
    <col min="3" max="3" width="9.796875" style="1236" customWidth="1"/>
    <col min="4" max="4" width="5.5" style="1236" customWidth="1"/>
    <col min="5" max="5" width="9.796875" style="1236" customWidth="1"/>
    <col min="6" max="6" width="5.5" style="1236" customWidth="1"/>
    <col min="7" max="7" width="9.796875" style="1236" customWidth="1"/>
    <col min="8" max="8" width="5.5" style="1236" customWidth="1"/>
    <col min="9" max="9" width="9.796875" style="1236" customWidth="1"/>
    <col min="10" max="10" width="5.5" style="1236" customWidth="1"/>
    <col min="11" max="11" width="9.796875" style="1236" customWidth="1"/>
    <col min="12" max="16384" width="8.09765625" style="1236"/>
  </cols>
  <sheetData>
    <row r="1" spans="1:11" ht="30" customHeight="1" thickBot="1">
      <c r="A1" s="1481" t="s">
        <v>3001</v>
      </c>
    </row>
    <row r="2" spans="1:11">
      <c r="A2" s="2522" t="s">
        <v>1498</v>
      </c>
      <c r="B2" s="2600" t="s">
        <v>3002</v>
      </c>
      <c r="C2" s="2522"/>
      <c r="D2" s="2395"/>
      <c r="E2" s="2395"/>
      <c r="F2" s="2395"/>
      <c r="G2" s="2395"/>
      <c r="H2" s="2395"/>
      <c r="I2" s="2395"/>
      <c r="J2" s="2395"/>
      <c r="K2" s="2395"/>
    </row>
    <row r="3" spans="1:11">
      <c r="A3" s="2523"/>
      <c r="B3" s="2446"/>
      <c r="C3" s="2431"/>
      <c r="D3" s="2446" t="s">
        <v>3003</v>
      </c>
      <c r="E3" s="2471"/>
      <c r="F3" s="2446" t="s">
        <v>3004</v>
      </c>
      <c r="G3" s="2471"/>
      <c r="H3" s="2446" t="s">
        <v>3005</v>
      </c>
      <c r="I3" s="2471"/>
      <c r="J3" s="2445" t="s">
        <v>3006</v>
      </c>
      <c r="K3" s="2523"/>
    </row>
    <row r="4" spans="1:11" ht="21.6">
      <c r="A4" s="2471"/>
      <c r="B4" s="1660" t="s">
        <v>3007</v>
      </c>
      <c r="C4" s="1660" t="s">
        <v>3008</v>
      </c>
      <c r="D4" s="1660" t="str">
        <f>+B4</f>
        <v>受給者数</v>
      </c>
      <c r="E4" s="1660" t="s">
        <v>3008</v>
      </c>
      <c r="F4" s="1660" t="str">
        <f>+B4</f>
        <v>受給者数</v>
      </c>
      <c r="G4" s="1660" t="s">
        <v>3008</v>
      </c>
      <c r="H4" s="1660" t="str">
        <f>+B4</f>
        <v>受給者数</v>
      </c>
      <c r="I4" s="1660" t="s">
        <v>3008</v>
      </c>
      <c r="J4" s="1660" t="str">
        <f>+B4</f>
        <v>受給者数</v>
      </c>
      <c r="K4" s="1661" t="s">
        <v>3008</v>
      </c>
    </row>
    <row r="5" spans="1:11">
      <c r="A5" s="1434"/>
      <c r="B5" s="1651" t="s">
        <v>167</v>
      </c>
      <c r="C5" s="1651" t="s">
        <v>1517</v>
      </c>
      <c r="D5" s="1651" t="s">
        <v>167</v>
      </c>
      <c r="E5" s="1651" t="s">
        <v>1517</v>
      </c>
      <c r="F5" s="1651" t="s">
        <v>167</v>
      </c>
      <c r="G5" s="1651" t="s">
        <v>1517</v>
      </c>
      <c r="H5" s="1651" t="s">
        <v>167</v>
      </c>
      <c r="I5" s="1651" t="s">
        <v>1517</v>
      </c>
      <c r="J5" s="1651" t="s">
        <v>167</v>
      </c>
      <c r="K5" s="1662" t="s">
        <v>1517</v>
      </c>
    </row>
    <row r="6" spans="1:11" ht="19.8" customHeight="1">
      <c r="A6" s="1654" t="s">
        <v>2940</v>
      </c>
      <c r="B6" s="1663">
        <v>1085</v>
      </c>
      <c r="C6" s="1663">
        <v>432277</v>
      </c>
      <c r="D6" s="1663">
        <v>614</v>
      </c>
      <c r="E6" s="1663">
        <v>334015</v>
      </c>
      <c r="F6" s="1663">
        <v>217</v>
      </c>
      <c r="G6" s="1663">
        <v>48265</v>
      </c>
      <c r="H6" s="1663">
        <v>254</v>
      </c>
      <c r="I6" s="1663">
        <v>49997</v>
      </c>
      <c r="J6" s="1664" t="s">
        <v>431</v>
      </c>
      <c r="K6" s="1665" t="s">
        <v>431</v>
      </c>
    </row>
    <row r="7" spans="1:11" ht="19.8" customHeight="1">
      <c r="A7" s="1654">
        <v>3</v>
      </c>
      <c r="B7" s="1663">
        <v>1026</v>
      </c>
      <c r="C7" s="1663">
        <v>403943</v>
      </c>
      <c r="D7" s="1663">
        <v>562</v>
      </c>
      <c r="E7" s="1663">
        <v>307548</v>
      </c>
      <c r="F7" s="1663">
        <v>233</v>
      </c>
      <c r="G7" s="1663">
        <v>50263</v>
      </c>
      <c r="H7" s="1663">
        <v>227</v>
      </c>
      <c r="I7" s="1663">
        <v>46065</v>
      </c>
      <c r="J7" s="1664">
        <v>4</v>
      </c>
      <c r="K7" s="1665">
        <v>67</v>
      </c>
    </row>
    <row r="8" spans="1:11" ht="19.8" customHeight="1">
      <c r="A8" s="1654">
        <v>4</v>
      </c>
      <c r="B8" s="1663">
        <v>963</v>
      </c>
      <c r="C8" s="1663">
        <v>374720</v>
      </c>
      <c r="D8" s="1663">
        <v>527</v>
      </c>
      <c r="E8" s="1663">
        <v>282228</v>
      </c>
      <c r="F8" s="1663">
        <v>222</v>
      </c>
      <c r="G8" s="1663">
        <v>48743</v>
      </c>
      <c r="H8" s="1663">
        <v>213</v>
      </c>
      <c r="I8" s="1663">
        <v>43742</v>
      </c>
      <c r="J8" s="1664">
        <v>1</v>
      </c>
      <c r="K8" s="1665">
        <v>7</v>
      </c>
    </row>
    <row r="9" spans="1:11" ht="19.8" customHeight="1" thickBot="1">
      <c r="A9" s="1657"/>
      <c r="B9" s="1666"/>
      <c r="C9" s="1666"/>
      <c r="D9" s="1666"/>
      <c r="E9" s="1666"/>
      <c r="F9" s="1666"/>
      <c r="G9" s="1666"/>
      <c r="H9" s="1666"/>
      <c r="I9" s="1666"/>
      <c r="J9" s="1667"/>
      <c r="K9" s="1668"/>
    </row>
    <row r="10" spans="1:11">
      <c r="A10" s="1236" t="s">
        <v>2998</v>
      </c>
    </row>
    <row r="11" spans="1:11">
      <c r="A11" s="1236" t="s">
        <v>3009</v>
      </c>
    </row>
  </sheetData>
  <mergeCells count="10">
    <mergeCell ref="A2:A4"/>
    <mergeCell ref="B2:C3"/>
    <mergeCell ref="D2:E2"/>
    <mergeCell ref="F2:G2"/>
    <mergeCell ref="H2:I2"/>
    <mergeCell ref="J2:K2"/>
    <mergeCell ref="D3:E3"/>
    <mergeCell ref="F3:G3"/>
    <mergeCell ref="H3:I3"/>
    <mergeCell ref="J3:K3"/>
  </mergeCells>
  <phoneticPr fontId="4"/>
  <pageMargins left="0.7" right="0.7" top="0.75" bottom="0.75" header="0.3" footer="0.3"/>
  <pageSetup paperSize="9" scale="95"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D0AC-8106-4EAF-8C9D-B461EA9BAE19}">
  <sheetPr codeName="Sheet118"/>
  <dimension ref="A1:K26"/>
  <sheetViews>
    <sheetView workbookViewId="0"/>
  </sheetViews>
  <sheetFormatPr defaultRowHeight="26.4" customHeight="1"/>
  <cols>
    <col min="1" max="1" width="8" style="1236" customWidth="1"/>
    <col min="2" max="11" width="6.8984375" style="1236" customWidth="1"/>
    <col min="12" max="256" width="8.796875" style="1236"/>
    <col min="257" max="257" width="8" style="1236" customWidth="1"/>
    <col min="258" max="267" width="6.8984375" style="1236" customWidth="1"/>
    <col min="268" max="512" width="8.796875" style="1236"/>
    <col min="513" max="513" width="8" style="1236" customWidth="1"/>
    <col min="514" max="523" width="6.8984375" style="1236" customWidth="1"/>
    <col min="524" max="768" width="8.796875" style="1236"/>
    <col min="769" max="769" width="8" style="1236" customWidth="1"/>
    <col min="770" max="779" width="6.8984375" style="1236" customWidth="1"/>
    <col min="780" max="1024" width="8.796875" style="1236"/>
    <col min="1025" max="1025" width="8" style="1236" customWidth="1"/>
    <col min="1026" max="1035" width="6.8984375" style="1236" customWidth="1"/>
    <col min="1036" max="1280" width="8.796875" style="1236"/>
    <col min="1281" max="1281" width="8" style="1236" customWidth="1"/>
    <col min="1282" max="1291" width="6.8984375" style="1236" customWidth="1"/>
    <col min="1292" max="1536" width="8.796875" style="1236"/>
    <col min="1537" max="1537" width="8" style="1236" customWidth="1"/>
    <col min="1538" max="1547" width="6.8984375" style="1236" customWidth="1"/>
    <col min="1548" max="1792" width="8.796875" style="1236"/>
    <col min="1793" max="1793" width="8" style="1236" customWidth="1"/>
    <col min="1794" max="1803" width="6.8984375" style="1236" customWidth="1"/>
    <col min="1804" max="2048" width="8.796875" style="1236"/>
    <col min="2049" max="2049" width="8" style="1236" customWidth="1"/>
    <col min="2050" max="2059" width="6.8984375" style="1236" customWidth="1"/>
    <col min="2060" max="2304" width="8.796875" style="1236"/>
    <col min="2305" max="2305" width="8" style="1236" customWidth="1"/>
    <col min="2306" max="2315" width="6.8984375" style="1236" customWidth="1"/>
    <col min="2316" max="2560" width="8.796875" style="1236"/>
    <col min="2561" max="2561" width="8" style="1236" customWidth="1"/>
    <col min="2562" max="2571" width="6.8984375" style="1236" customWidth="1"/>
    <col min="2572" max="2816" width="8.796875" style="1236"/>
    <col min="2817" max="2817" width="8" style="1236" customWidth="1"/>
    <col min="2818" max="2827" width="6.8984375" style="1236" customWidth="1"/>
    <col min="2828" max="3072" width="8.796875" style="1236"/>
    <col min="3073" max="3073" width="8" style="1236" customWidth="1"/>
    <col min="3074" max="3083" width="6.8984375" style="1236" customWidth="1"/>
    <col min="3084" max="3328" width="8.796875" style="1236"/>
    <col min="3329" max="3329" width="8" style="1236" customWidth="1"/>
    <col min="3330" max="3339" width="6.8984375" style="1236" customWidth="1"/>
    <col min="3340" max="3584" width="8.796875" style="1236"/>
    <col min="3585" max="3585" width="8" style="1236" customWidth="1"/>
    <col min="3586" max="3595" width="6.8984375" style="1236" customWidth="1"/>
    <col min="3596" max="3840" width="8.796875" style="1236"/>
    <col min="3841" max="3841" width="8" style="1236" customWidth="1"/>
    <col min="3842" max="3851" width="6.8984375" style="1236" customWidth="1"/>
    <col min="3852" max="4096" width="8.796875" style="1236"/>
    <col min="4097" max="4097" width="8" style="1236" customWidth="1"/>
    <col min="4098" max="4107" width="6.8984375" style="1236" customWidth="1"/>
    <col min="4108" max="4352" width="8.796875" style="1236"/>
    <col min="4353" max="4353" width="8" style="1236" customWidth="1"/>
    <col min="4354" max="4363" width="6.8984375" style="1236" customWidth="1"/>
    <col min="4364" max="4608" width="8.796875" style="1236"/>
    <col min="4609" max="4609" width="8" style="1236" customWidth="1"/>
    <col min="4610" max="4619" width="6.8984375" style="1236" customWidth="1"/>
    <col min="4620" max="4864" width="8.796875" style="1236"/>
    <col min="4865" max="4865" width="8" style="1236" customWidth="1"/>
    <col min="4866" max="4875" width="6.8984375" style="1236" customWidth="1"/>
    <col min="4876" max="5120" width="8.796875" style="1236"/>
    <col min="5121" max="5121" width="8" style="1236" customWidth="1"/>
    <col min="5122" max="5131" width="6.8984375" style="1236" customWidth="1"/>
    <col min="5132" max="5376" width="8.796875" style="1236"/>
    <col min="5377" max="5377" width="8" style="1236" customWidth="1"/>
    <col min="5378" max="5387" width="6.8984375" style="1236" customWidth="1"/>
    <col min="5388" max="5632" width="8.796875" style="1236"/>
    <col min="5633" max="5633" width="8" style="1236" customWidth="1"/>
    <col min="5634" max="5643" width="6.8984375" style="1236" customWidth="1"/>
    <col min="5644" max="5888" width="8.796875" style="1236"/>
    <col min="5889" max="5889" width="8" style="1236" customWidth="1"/>
    <col min="5890" max="5899" width="6.8984375" style="1236" customWidth="1"/>
    <col min="5900" max="6144" width="8.796875" style="1236"/>
    <col min="6145" max="6145" width="8" style="1236" customWidth="1"/>
    <col min="6146" max="6155" width="6.8984375" style="1236" customWidth="1"/>
    <col min="6156" max="6400" width="8.796875" style="1236"/>
    <col min="6401" max="6401" width="8" style="1236" customWidth="1"/>
    <col min="6402" max="6411" width="6.8984375" style="1236" customWidth="1"/>
    <col min="6412" max="6656" width="8.796875" style="1236"/>
    <col min="6657" max="6657" width="8" style="1236" customWidth="1"/>
    <col min="6658" max="6667" width="6.8984375" style="1236" customWidth="1"/>
    <col min="6668" max="6912" width="8.796875" style="1236"/>
    <col min="6913" max="6913" width="8" style="1236" customWidth="1"/>
    <col min="6914" max="6923" width="6.8984375" style="1236" customWidth="1"/>
    <col min="6924" max="7168" width="8.796875" style="1236"/>
    <col min="7169" max="7169" width="8" style="1236" customWidth="1"/>
    <col min="7170" max="7179" width="6.8984375" style="1236" customWidth="1"/>
    <col min="7180" max="7424" width="8.796875" style="1236"/>
    <col min="7425" max="7425" width="8" style="1236" customWidth="1"/>
    <col min="7426" max="7435" width="6.8984375" style="1236" customWidth="1"/>
    <col min="7436" max="7680" width="8.796875" style="1236"/>
    <col min="7681" max="7681" width="8" style="1236" customWidth="1"/>
    <col min="7682" max="7691" width="6.8984375" style="1236" customWidth="1"/>
    <col min="7692" max="7936" width="8.796875" style="1236"/>
    <col min="7937" max="7937" width="8" style="1236" customWidth="1"/>
    <col min="7938" max="7947" width="6.8984375" style="1236" customWidth="1"/>
    <col min="7948" max="8192" width="8.796875" style="1236"/>
    <col min="8193" max="8193" width="8" style="1236" customWidth="1"/>
    <col min="8194" max="8203" width="6.8984375" style="1236" customWidth="1"/>
    <col min="8204" max="8448" width="8.796875" style="1236"/>
    <col min="8449" max="8449" width="8" style="1236" customWidth="1"/>
    <col min="8450" max="8459" width="6.8984375" style="1236" customWidth="1"/>
    <col min="8460" max="8704" width="8.796875" style="1236"/>
    <col min="8705" max="8705" width="8" style="1236" customWidth="1"/>
    <col min="8706" max="8715" width="6.8984375" style="1236" customWidth="1"/>
    <col min="8716" max="8960" width="8.796875" style="1236"/>
    <col min="8961" max="8961" width="8" style="1236" customWidth="1"/>
    <col min="8962" max="8971" width="6.8984375" style="1236" customWidth="1"/>
    <col min="8972" max="9216" width="8.796875" style="1236"/>
    <col min="9217" max="9217" width="8" style="1236" customWidth="1"/>
    <col min="9218" max="9227" width="6.8984375" style="1236" customWidth="1"/>
    <col min="9228" max="9472" width="8.796875" style="1236"/>
    <col min="9473" max="9473" width="8" style="1236" customWidth="1"/>
    <col min="9474" max="9483" width="6.8984375" style="1236" customWidth="1"/>
    <col min="9484" max="9728" width="8.796875" style="1236"/>
    <col min="9729" max="9729" width="8" style="1236" customWidth="1"/>
    <col min="9730" max="9739" width="6.8984375" style="1236" customWidth="1"/>
    <col min="9740" max="9984" width="8.796875" style="1236"/>
    <col min="9985" max="9985" width="8" style="1236" customWidth="1"/>
    <col min="9986" max="9995" width="6.8984375" style="1236" customWidth="1"/>
    <col min="9996" max="10240" width="8.796875" style="1236"/>
    <col min="10241" max="10241" width="8" style="1236" customWidth="1"/>
    <col min="10242" max="10251" width="6.8984375" style="1236" customWidth="1"/>
    <col min="10252" max="10496" width="8.796875" style="1236"/>
    <col min="10497" max="10497" width="8" style="1236" customWidth="1"/>
    <col min="10498" max="10507" width="6.8984375" style="1236" customWidth="1"/>
    <col min="10508" max="10752" width="8.796875" style="1236"/>
    <col min="10753" max="10753" width="8" style="1236" customWidth="1"/>
    <col min="10754" max="10763" width="6.8984375" style="1236" customWidth="1"/>
    <col min="10764" max="11008" width="8.796875" style="1236"/>
    <col min="11009" max="11009" width="8" style="1236" customWidth="1"/>
    <col min="11010" max="11019" width="6.8984375" style="1236" customWidth="1"/>
    <col min="11020" max="11264" width="8.796875" style="1236"/>
    <col min="11265" max="11265" width="8" style="1236" customWidth="1"/>
    <col min="11266" max="11275" width="6.8984375" style="1236" customWidth="1"/>
    <col min="11276" max="11520" width="8.796875" style="1236"/>
    <col min="11521" max="11521" width="8" style="1236" customWidth="1"/>
    <col min="11522" max="11531" width="6.8984375" style="1236" customWidth="1"/>
    <col min="11532" max="11776" width="8.796875" style="1236"/>
    <col min="11777" max="11777" width="8" style="1236" customWidth="1"/>
    <col min="11778" max="11787" width="6.8984375" style="1236" customWidth="1"/>
    <col min="11788" max="12032" width="8.796875" style="1236"/>
    <col min="12033" max="12033" width="8" style="1236" customWidth="1"/>
    <col min="12034" max="12043" width="6.8984375" style="1236" customWidth="1"/>
    <col min="12044" max="12288" width="8.796875" style="1236"/>
    <col min="12289" max="12289" width="8" style="1236" customWidth="1"/>
    <col min="12290" max="12299" width="6.8984375" style="1236" customWidth="1"/>
    <col min="12300" max="12544" width="8.796875" style="1236"/>
    <col min="12545" max="12545" width="8" style="1236" customWidth="1"/>
    <col min="12546" max="12555" width="6.8984375" style="1236" customWidth="1"/>
    <col min="12556" max="12800" width="8.796875" style="1236"/>
    <col min="12801" max="12801" width="8" style="1236" customWidth="1"/>
    <col min="12802" max="12811" width="6.8984375" style="1236" customWidth="1"/>
    <col min="12812" max="13056" width="8.796875" style="1236"/>
    <col min="13057" max="13057" width="8" style="1236" customWidth="1"/>
    <col min="13058" max="13067" width="6.8984375" style="1236" customWidth="1"/>
    <col min="13068" max="13312" width="8.796875" style="1236"/>
    <col min="13313" max="13313" width="8" style="1236" customWidth="1"/>
    <col min="13314" max="13323" width="6.8984375" style="1236" customWidth="1"/>
    <col min="13324" max="13568" width="8.796875" style="1236"/>
    <col min="13569" max="13569" width="8" style="1236" customWidth="1"/>
    <col min="13570" max="13579" width="6.8984375" style="1236" customWidth="1"/>
    <col min="13580" max="13824" width="8.796875" style="1236"/>
    <col min="13825" max="13825" width="8" style="1236" customWidth="1"/>
    <col min="13826" max="13835" width="6.8984375" style="1236" customWidth="1"/>
    <col min="13836" max="14080" width="8.796875" style="1236"/>
    <col min="14081" max="14081" width="8" style="1236" customWidth="1"/>
    <col min="14082" max="14091" width="6.8984375" style="1236" customWidth="1"/>
    <col min="14092" max="14336" width="8.796875" style="1236"/>
    <col min="14337" max="14337" width="8" style="1236" customWidth="1"/>
    <col min="14338" max="14347" width="6.8984375" style="1236" customWidth="1"/>
    <col min="14348" max="14592" width="8.796875" style="1236"/>
    <col min="14593" max="14593" width="8" style="1236" customWidth="1"/>
    <col min="14594" max="14603" width="6.8984375" style="1236" customWidth="1"/>
    <col min="14604" max="14848" width="8.796875" style="1236"/>
    <col min="14849" max="14849" width="8" style="1236" customWidth="1"/>
    <col min="14850" max="14859" width="6.8984375" style="1236" customWidth="1"/>
    <col min="14860" max="15104" width="8.796875" style="1236"/>
    <col min="15105" max="15105" width="8" style="1236" customWidth="1"/>
    <col min="15106" max="15115" width="6.8984375" style="1236" customWidth="1"/>
    <col min="15116" max="15360" width="8.796875" style="1236"/>
    <col min="15361" max="15361" width="8" style="1236" customWidth="1"/>
    <col min="15362" max="15371" width="6.8984375" style="1236" customWidth="1"/>
    <col min="15372" max="15616" width="8.796875" style="1236"/>
    <col min="15617" max="15617" width="8" style="1236" customWidth="1"/>
    <col min="15618" max="15627" width="6.8984375" style="1236" customWidth="1"/>
    <col min="15628" max="15872" width="8.796875" style="1236"/>
    <col min="15873" max="15873" width="8" style="1236" customWidth="1"/>
    <col min="15874" max="15883" width="6.8984375" style="1236" customWidth="1"/>
    <col min="15884" max="16128" width="8.796875" style="1236"/>
    <col min="16129" max="16129" width="8" style="1236" customWidth="1"/>
    <col min="16130" max="16139" width="6.8984375" style="1236" customWidth="1"/>
    <col min="16140" max="16384" width="8.796875" style="1236"/>
  </cols>
  <sheetData>
    <row r="1" spans="1:11" ht="26.4" customHeight="1" thickBot="1">
      <c r="A1" s="1481" t="s">
        <v>3571</v>
      </c>
    </row>
    <row r="2" spans="1:11" ht="26.4" customHeight="1">
      <c r="A2" s="2522" t="s">
        <v>1498</v>
      </c>
      <c r="B2" s="2600" t="s">
        <v>3572</v>
      </c>
      <c r="C2" s="2499"/>
      <c r="D2" s="2515" t="s">
        <v>3573</v>
      </c>
      <c r="E2" s="2517" t="s">
        <v>3574</v>
      </c>
      <c r="F2" s="2517" t="s">
        <v>3575</v>
      </c>
      <c r="G2" s="2390" t="s">
        <v>3576</v>
      </c>
      <c r="H2" s="2395"/>
      <c r="I2" s="2395"/>
      <c r="J2" s="2395"/>
      <c r="K2" s="2395"/>
    </row>
    <row r="3" spans="1:11" ht="26.4" customHeight="1">
      <c r="A3" s="2523"/>
      <c r="B3" s="2445"/>
      <c r="C3" s="2430"/>
      <c r="D3" s="2607"/>
      <c r="E3" s="2445"/>
      <c r="F3" s="2445"/>
      <c r="G3" s="2495" t="s">
        <v>3577</v>
      </c>
      <c r="H3" s="2496"/>
      <c r="I3" s="2443"/>
      <c r="J3" s="2443" t="s">
        <v>3578</v>
      </c>
      <c r="K3" s="2495"/>
    </row>
    <row r="4" spans="1:11" ht="26.4" customHeight="1">
      <c r="A4" s="2471"/>
      <c r="B4" s="2446"/>
      <c r="C4" s="2431"/>
      <c r="D4" s="2608"/>
      <c r="E4" s="2446"/>
      <c r="F4" s="2446"/>
      <c r="G4" s="1660" t="s">
        <v>25</v>
      </c>
      <c r="H4" s="1661" t="s">
        <v>3579</v>
      </c>
      <c r="I4" s="1660" t="s">
        <v>3580</v>
      </c>
      <c r="J4" s="1943" t="s">
        <v>3579</v>
      </c>
      <c r="K4" s="1947" t="s">
        <v>3580</v>
      </c>
    </row>
    <row r="5" spans="1:11" ht="13.2" customHeight="1">
      <c r="A5" s="1948"/>
      <c r="B5" s="1651" t="s">
        <v>230</v>
      </c>
      <c r="C5" s="1651" t="s">
        <v>167</v>
      </c>
      <c r="D5" s="1651" t="s">
        <v>452</v>
      </c>
      <c r="E5" s="1651" t="s">
        <v>167</v>
      </c>
      <c r="F5" s="1651" t="s">
        <v>167</v>
      </c>
      <c r="G5" s="1651" t="s">
        <v>167</v>
      </c>
      <c r="H5" s="1651" t="s">
        <v>167</v>
      </c>
      <c r="I5" s="1651" t="s">
        <v>167</v>
      </c>
      <c r="J5" s="1472" t="s">
        <v>1517</v>
      </c>
      <c r="K5" s="1653" t="s">
        <v>1517</v>
      </c>
    </row>
    <row r="6" spans="1:11" ht="19.8" customHeight="1">
      <c r="A6" s="1975" t="s">
        <v>2578</v>
      </c>
      <c r="B6" s="1978">
        <v>69</v>
      </c>
      <c r="C6" s="1978">
        <v>12045</v>
      </c>
      <c r="D6" s="1979">
        <v>57471</v>
      </c>
      <c r="E6" s="1978">
        <v>9808</v>
      </c>
      <c r="F6" s="1978">
        <v>5374</v>
      </c>
      <c r="G6" s="1978">
        <v>269</v>
      </c>
      <c r="H6" s="1977">
        <v>269</v>
      </c>
      <c r="I6" s="1980">
        <v>0</v>
      </c>
      <c r="J6" s="329">
        <v>7320</v>
      </c>
      <c r="K6" s="1981">
        <v>0</v>
      </c>
    </row>
    <row r="7" spans="1:11" ht="19.8" customHeight="1">
      <c r="A7" s="1975" t="s">
        <v>2579</v>
      </c>
      <c r="B7" s="1978">
        <v>119</v>
      </c>
      <c r="C7" s="1978">
        <v>28171</v>
      </c>
      <c r="D7" s="1979">
        <v>58276</v>
      </c>
      <c r="E7" s="1978">
        <v>9814</v>
      </c>
      <c r="F7" s="1978">
        <v>6162</v>
      </c>
      <c r="G7" s="1978">
        <v>270</v>
      </c>
      <c r="H7" s="1977">
        <v>270</v>
      </c>
      <c r="I7" s="1980">
        <v>0</v>
      </c>
      <c r="J7" s="329">
        <v>8028</v>
      </c>
      <c r="K7" s="1981">
        <v>0</v>
      </c>
    </row>
    <row r="8" spans="1:11" ht="19.8" customHeight="1" thickBot="1">
      <c r="A8" s="1968" t="s">
        <v>2580</v>
      </c>
      <c r="B8" s="1965">
        <v>111</v>
      </c>
      <c r="C8" s="1965">
        <v>29315</v>
      </c>
      <c r="D8" s="1969">
        <v>55303</v>
      </c>
      <c r="E8" s="1965">
        <v>12632</v>
      </c>
      <c r="F8" s="1965">
        <v>7317</v>
      </c>
      <c r="G8" s="1965">
        <v>268</v>
      </c>
      <c r="H8" s="1967">
        <v>268</v>
      </c>
      <c r="I8" s="1970">
        <v>0</v>
      </c>
      <c r="J8" s="340">
        <v>7160</v>
      </c>
      <c r="K8" s="1971">
        <v>0</v>
      </c>
    </row>
    <row r="9" spans="1:11" ht="26.4" customHeight="1" thickBot="1"/>
    <row r="10" spans="1:11" ht="26.4" customHeight="1">
      <c r="A10" s="2522" t="s">
        <v>1498</v>
      </c>
      <c r="B10" s="2515" t="s">
        <v>3581</v>
      </c>
      <c r="C10" s="2517" t="s">
        <v>3582</v>
      </c>
      <c r="D10" s="2522"/>
      <c r="E10" s="2517" t="s">
        <v>3583</v>
      </c>
      <c r="F10" s="2604"/>
      <c r="G10" s="2522" t="s">
        <v>3584</v>
      </c>
      <c r="H10" s="2522"/>
      <c r="I10" s="2515" t="s">
        <v>3585</v>
      </c>
      <c r="J10" s="2517" t="s">
        <v>3586</v>
      </c>
      <c r="K10" s="2517" t="s">
        <v>3587</v>
      </c>
    </row>
    <row r="11" spans="1:11" ht="26.4" customHeight="1">
      <c r="A11" s="2523"/>
      <c r="B11" s="2440"/>
      <c r="C11" s="2445"/>
      <c r="D11" s="2523"/>
      <c r="E11" s="2518"/>
      <c r="F11" s="2605"/>
      <c r="G11" s="2523"/>
      <c r="H11" s="2523"/>
      <c r="I11" s="2440"/>
      <c r="J11" s="2445"/>
      <c r="K11" s="2445"/>
    </row>
    <row r="12" spans="1:11" ht="26.4" customHeight="1">
      <c r="A12" s="2471"/>
      <c r="B12" s="2441"/>
      <c r="C12" s="2446"/>
      <c r="D12" s="2471"/>
      <c r="E12" s="2602"/>
      <c r="F12" s="2606"/>
      <c r="G12" s="2471"/>
      <c r="H12" s="2471"/>
      <c r="I12" s="2441"/>
      <c r="J12" s="2446"/>
      <c r="K12" s="2446"/>
    </row>
    <row r="13" spans="1:11" ht="13.2" customHeight="1">
      <c r="A13" s="1948"/>
      <c r="B13" s="1651" t="s">
        <v>167</v>
      </c>
      <c r="C13" s="1651" t="s">
        <v>230</v>
      </c>
      <c r="D13" s="1651" t="s">
        <v>167</v>
      </c>
      <c r="E13" s="1651" t="s">
        <v>230</v>
      </c>
      <c r="F13" s="1651" t="s">
        <v>167</v>
      </c>
      <c r="G13" s="1651" t="s">
        <v>230</v>
      </c>
      <c r="H13" s="1651" t="s">
        <v>167</v>
      </c>
      <c r="I13" s="1651" t="s">
        <v>167</v>
      </c>
      <c r="J13" s="1662" t="s">
        <v>167</v>
      </c>
      <c r="K13" s="1662" t="s">
        <v>167</v>
      </c>
    </row>
    <row r="14" spans="1:11" ht="19.8" customHeight="1">
      <c r="A14" s="1975" t="s">
        <v>2578</v>
      </c>
      <c r="B14" s="1976">
        <v>790</v>
      </c>
      <c r="C14" s="1976">
        <v>1636</v>
      </c>
      <c r="D14" s="1976">
        <v>14612</v>
      </c>
      <c r="E14" s="1976">
        <v>372</v>
      </c>
      <c r="F14" s="1976">
        <v>8662</v>
      </c>
      <c r="G14" s="1976">
        <v>82</v>
      </c>
      <c r="H14" s="1976">
        <v>1679</v>
      </c>
      <c r="I14" s="319">
        <v>26693</v>
      </c>
      <c r="J14" s="1281">
        <v>18781</v>
      </c>
      <c r="K14" s="1977">
        <v>53998</v>
      </c>
    </row>
    <row r="15" spans="1:11" ht="19.8" customHeight="1">
      <c r="A15" s="1975" t="s">
        <v>2579</v>
      </c>
      <c r="B15" s="1976">
        <v>1246</v>
      </c>
      <c r="C15" s="1976">
        <v>1913</v>
      </c>
      <c r="D15" s="1976">
        <v>17953</v>
      </c>
      <c r="E15" s="1976">
        <v>456</v>
      </c>
      <c r="F15" s="1976">
        <v>11719</v>
      </c>
      <c r="G15" s="1976">
        <v>118</v>
      </c>
      <c r="H15" s="1976">
        <v>2310</v>
      </c>
      <c r="I15" s="319">
        <v>33350</v>
      </c>
      <c r="J15" s="1281">
        <v>30082</v>
      </c>
      <c r="K15" s="1977">
        <v>85577</v>
      </c>
    </row>
    <row r="16" spans="1:11" ht="19.8" customHeight="1" thickBot="1">
      <c r="A16" s="1968" t="s">
        <v>2580</v>
      </c>
      <c r="B16" s="1393">
        <v>656</v>
      </c>
      <c r="C16" s="1393">
        <v>1821</v>
      </c>
      <c r="D16" s="1393">
        <v>17915</v>
      </c>
      <c r="E16" s="1393">
        <v>442</v>
      </c>
      <c r="F16" s="1393">
        <v>14280</v>
      </c>
      <c r="G16" s="1393">
        <v>114</v>
      </c>
      <c r="H16" s="1393">
        <v>2535</v>
      </c>
      <c r="I16" s="339">
        <v>32696</v>
      </c>
      <c r="J16" s="418">
        <v>21485</v>
      </c>
      <c r="K16" s="1967">
        <v>92051</v>
      </c>
    </row>
    <row r="17" spans="1:10" ht="26.4" customHeight="1" thickBot="1">
      <c r="A17" s="1972"/>
      <c r="B17" s="1756"/>
      <c r="C17" s="1756"/>
      <c r="D17" s="1756"/>
      <c r="E17" s="1756"/>
      <c r="F17" s="1756"/>
      <c r="G17" s="1756"/>
      <c r="H17" s="1756"/>
      <c r="I17" s="1756"/>
      <c r="J17" s="1756"/>
    </row>
    <row r="18" spans="1:10" ht="26.4" customHeight="1">
      <c r="A18" s="2522" t="s">
        <v>1498</v>
      </c>
      <c r="B18" s="2390" t="s">
        <v>3588</v>
      </c>
      <c r="C18" s="2395"/>
      <c r="D18" s="2395"/>
      <c r="E18" s="2395"/>
      <c r="F18" s="2395"/>
    </row>
    <row r="19" spans="1:10" ht="26.4" customHeight="1">
      <c r="A19" s="2523"/>
      <c r="B19" s="2495" t="s">
        <v>3589</v>
      </c>
      <c r="C19" s="2496"/>
      <c r="D19" s="2443"/>
      <c r="E19" s="2496" t="s">
        <v>3590</v>
      </c>
      <c r="F19" s="2496"/>
    </row>
    <row r="20" spans="1:10" ht="26.4" customHeight="1">
      <c r="A20" s="2471"/>
      <c r="B20" s="1950" t="s">
        <v>3591</v>
      </c>
      <c r="C20" s="1950" t="s">
        <v>3592</v>
      </c>
      <c r="D20" s="1950" t="s">
        <v>3593</v>
      </c>
      <c r="E20" s="1949" t="s">
        <v>3592</v>
      </c>
      <c r="F20" s="1951" t="s">
        <v>3593</v>
      </c>
    </row>
    <row r="21" spans="1:10" ht="13.2" customHeight="1">
      <c r="A21" s="1948"/>
      <c r="B21" s="1652" t="s">
        <v>452</v>
      </c>
      <c r="C21" s="1652" t="s">
        <v>452</v>
      </c>
      <c r="D21" s="1652" t="s">
        <v>452</v>
      </c>
      <c r="E21" s="1973" t="s">
        <v>803</v>
      </c>
      <c r="F21" s="1653" t="s">
        <v>803</v>
      </c>
    </row>
    <row r="22" spans="1:10" ht="19.8" customHeight="1">
      <c r="A22" s="1975" t="s">
        <v>2578</v>
      </c>
      <c r="B22" s="1982">
        <v>249</v>
      </c>
      <c r="C22" s="1982">
        <v>249</v>
      </c>
      <c r="D22" s="1980">
        <v>0</v>
      </c>
      <c r="E22" s="1983">
        <v>17471</v>
      </c>
      <c r="F22" s="1981">
        <v>0</v>
      </c>
    </row>
    <row r="23" spans="1:10" ht="19.8" customHeight="1">
      <c r="A23" s="1975" t="s">
        <v>2579</v>
      </c>
      <c r="B23" s="1982">
        <v>235</v>
      </c>
      <c r="C23" s="1982">
        <v>235</v>
      </c>
      <c r="D23" s="1980">
        <v>0</v>
      </c>
      <c r="E23" s="1983">
        <v>16546</v>
      </c>
      <c r="F23" s="1981">
        <v>0</v>
      </c>
    </row>
    <row r="24" spans="1:10" ht="19.8" customHeight="1" thickBot="1">
      <c r="A24" s="1968" t="s">
        <v>2580</v>
      </c>
      <c r="B24" s="1933">
        <v>212</v>
      </c>
      <c r="C24" s="1933">
        <v>212</v>
      </c>
      <c r="D24" s="1970">
        <v>0</v>
      </c>
      <c r="E24" s="1974">
        <v>14309</v>
      </c>
      <c r="F24" s="1971">
        <v>0</v>
      </c>
    </row>
    <row r="25" spans="1:10" ht="26.4" customHeight="1">
      <c r="A25" s="1236" t="s">
        <v>3595</v>
      </c>
    </row>
    <row r="26" spans="1:10" ht="26.4" customHeight="1">
      <c r="A26" s="1236" t="s">
        <v>3594</v>
      </c>
    </row>
  </sheetData>
  <mergeCells count="20">
    <mergeCell ref="G2:K2"/>
    <mergeCell ref="G3:I3"/>
    <mergeCell ref="J3:K3"/>
    <mergeCell ref="A2:A4"/>
    <mergeCell ref="B2:C4"/>
    <mergeCell ref="D2:D4"/>
    <mergeCell ref="E2:E4"/>
    <mergeCell ref="F2:F4"/>
    <mergeCell ref="J10:J12"/>
    <mergeCell ref="K10:K12"/>
    <mergeCell ref="A18:A20"/>
    <mergeCell ref="B18:F18"/>
    <mergeCell ref="B19:D19"/>
    <mergeCell ref="E19:F19"/>
    <mergeCell ref="A10:A12"/>
    <mergeCell ref="B10:B12"/>
    <mergeCell ref="C10:D12"/>
    <mergeCell ref="E10:F12"/>
    <mergeCell ref="G10:H12"/>
    <mergeCell ref="I10:I12"/>
  </mergeCells>
  <phoneticPr fontId="4"/>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CB31-3401-45EA-A697-64061704045D}">
  <sheetPr codeName="Sheet51">
    <pageSetUpPr fitToPage="1"/>
  </sheetPr>
  <dimension ref="A1:AB22"/>
  <sheetViews>
    <sheetView workbookViewId="0"/>
  </sheetViews>
  <sheetFormatPr defaultColWidth="9" defaultRowHeight="15.75" customHeight="1"/>
  <cols>
    <col min="1" max="1" width="17.59765625" style="2" customWidth="1"/>
    <col min="2" max="25" width="6" style="2" customWidth="1"/>
    <col min="26" max="27" width="9" style="2"/>
    <col min="28" max="28" width="10.5" style="2" bestFit="1" customWidth="1"/>
    <col min="29" max="16384" width="9" style="2"/>
  </cols>
  <sheetData>
    <row r="1" spans="1:28" ht="30" customHeight="1" thickBot="1">
      <c r="A1" s="259" t="s">
        <v>1429</v>
      </c>
      <c r="I1" s="617"/>
      <c r="Q1" s="617"/>
      <c r="Y1" s="617"/>
    </row>
    <row r="2" spans="1:28" s="11" customFormat="1" ht="26.25" customHeight="1">
      <c r="A2" s="2609" t="s">
        <v>1430</v>
      </c>
      <c r="B2" s="2183" t="s">
        <v>1431</v>
      </c>
      <c r="C2" s="2184"/>
      <c r="D2" s="2184"/>
      <c r="E2" s="2184"/>
      <c r="F2" s="2184"/>
      <c r="G2" s="2184"/>
      <c r="H2" s="2184"/>
      <c r="I2" s="2184"/>
      <c r="J2" s="2183" t="s">
        <v>1432</v>
      </c>
      <c r="K2" s="2184"/>
      <c r="L2" s="2184"/>
      <c r="M2" s="2184"/>
      <c r="N2" s="2184"/>
      <c r="O2" s="2184"/>
      <c r="P2" s="2184"/>
      <c r="Q2" s="2184"/>
      <c r="R2" s="2183" t="s">
        <v>1433</v>
      </c>
      <c r="S2" s="2184"/>
      <c r="T2" s="2184"/>
      <c r="U2" s="2184"/>
      <c r="V2" s="2184"/>
      <c r="W2" s="2184"/>
      <c r="X2" s="2184"/>
      <c r="Y2" s="2184"/>
    </row>
    <row r="3" spans="1:28" s="11" customFormat="1" ht="28.8">
      <c r="A3" s="2610"/>
      <c r="B3" s="246" t="s">
        <v>1434</v>
      </c>
      <c r="C3" s="246" t="s">
        <v>1435</v>
      </c>
      <c r="D3" s="246" t="s">
        <v>1436</v>
      </c>
      <c r="E3" s="722" t="s">
        <v>1437</v>
      </c>
      <c r="F3" s="246" t="s">
        <v>1438</v>
      </c>
      <c r="G3" s="722" t="s">
        <v>1439</v>
      </c>
      <c r="H3" s="246" t="s">
        <v>1440</v>
      </c>
      <c r="I3" s="723" t="s">
        <v>1441</v>
      </c>
      <c r="J3" s="246" t="s">
        <v>1434</v>
      </c>
      <c r="K3" s="246" t="s">
        <v>1435</v>
      </c>
      <c r="L3" s="246" t="s">
        <v>1436</v>
      </c>
      <c r="M3" s="722" t="s">
        <v>1437</v>
      </c>
      <c r="N3" s="246" t="s">
        <v>1438</v>
      </c>
      <c r="O3" s="722" t="s">
        <v>1439</v>
      </c>
      <c r="P3" s="246" t="s">
        <v>1440</v>
      </c>
      <c r="Q3" s="723" t="s">
        <v>1441</v>
      </c>
      <c r="R3" s="246" t="s">
        <v>1434</v>
      </c>
      <c r="S3" s="246" t="s">
        <v>1435</v>
      </c>
      <c r="T3" s="246" t="s">
        <v>1436</v>
      </c>
      <c r="U3" s="722" t="s">
        <v>1437</v>
      </c>
      <c r="V3" s="246" t="s">
        <v>1438</v>
      </c>
      <c r="W3" s="722" t="s">
        <v>1439</v>
      </c>
      <c r="X3" s="246" t="s">
        <v>1440</v>
      </c>
      <c r="Y3" s="723" t="s">
        <v>1441</v>
      </c>
    </row>
    <row r="4" spans="1:28" s="11" customFormat="1" ht="26.25" customHeight="1">
      <c r="A4" s="391" t="s">
        <v>1442</v>
      </c>
      <c r="B4" s="724">
        <v>0</v>
      </c>
      <c r="C4" s="724">
        <v>0</v>
      </c>
      <c r="D4" s="724">
        <v>2</v>
      </c>
      <c r="E4" s="724">
        <v>0</v>
      </c>
      <c r="F4" s="724">
        <v>0</v>
      </c>
      <c r="G4" s="724">
        <v>2</v>
      </c>
      <c r="H4" s="724">
        <v>4</v>
      </c>
      <c r="I4" s="725">
        <v>12.1</v>
      </c>
      <c r="J4" s="724">
        <v>2</v>
      </c>
      <c r="K4" s="724">
        <v>0</v>
      </c>
      <c r="L4" s="724">
        <v>3</v>
      </c>
      <c r="M4" s="724">
        <v>2</v>
      </c>
      <c r="N4" s="724">
        <v>0</v>
      </c>
      <c r="O4" s="724">
        <v>5</v>
      </c>
      <c r="P4" s="724">
        <v>12</v>
      </c>
      <c r="Q4" s="725">
        <v>30</v>
      </c>
      <c r="R4" s="724">
        <v>1</v>
      </c>
      <c r="S4" s="724">
        <v>0</v>
      </c>
      <c r="T4" s="724">
        <v>0</v>
      </c>
      <c r="U4" s="724">
        <v>0</v>
      </c>
      <c r="V4" s="724">
        <v>0</v>
      </c>
      <c r="W4" s="724">
        <v>2</v>
      </c>
      <c r="X4" s="724">
        <f>SUM(R4:W4)</f>
        <v>3</v>
      </c>
      <c r="Y4" s="725">
        <v>7.9</v>
      </c>
      <c r="AB4" s="726"/>
    </row>
    <row r="5" spans="1:28" s="11" customFormat="1" ht="26.25" customHeight="1">
      <c r="A5" s="391" t="s">
        <v>1443</v>
      </c>
      <c r="B5" s="727">
        <v>3</v>
      </c>
      <c r="C5" s="724">
        <v>0</v>
      </c>
      <c r="D5" s="724">
        <v>2</v>
      </c>
      <c r="E5" s="724">
        <v>0</v>
      </c>
      <c r="F5" s="724">
        <v>0</v>
      </c>
      <c r="G5" s="724">
        <v>6</v>
      </c>
      <c r="H5" s="724">
        <v>11</v>
      </c>
      <c r="I5" s="725">
        <v>33.299999999999997</v>
      </c>
      <c r="J5" s="727">
        <v>4</v>
      </c>
      <c r="K5" s="724">
        <v>0</v>
      </c>
      <c r="L5" s="724">
        <v>1</v>
      </c>
      <c r="M5" s="724">
        <v>1</v>
      </c>
      <c r="N5" s="724">
        <v>0</v>
      </c>
      <c r="O5" s="724">
        <v>9</v>
      </c>
      <c r="P5" s="724">
        <v>15</v>
      </c>
      <c r="Q5" s="725">
        <v>37.5</v>
      </c>
      <c r="R5" s="727">
        <v>4</v>
      </c>
      <c r="S5" s="724">
        <v>0</v>
      </c>
      <c r="T5" s="724">
        <v>1</v>
      </c>
      <c r="U5" s="724">
        <v>2</v>
      </c>
      <c r="V5" s="724">
        <v>0</v>
      </c>
      <c r="W5" s="724">
        <v>7</v>
      </c>
      <c r="X5" s="724">
        <f t="shared" ref="X5:X17" si="0">SUM(R5:W5)</f>
        <v>14</v>
      </c>
      <c r="Y5" s="725">
        <v>36.799999999999997</v>
      </c>
      <c r="AB5" s="726"/>
    </row>
    <row r="6" spans="1:28" s="11" customFormat="1" ht="26.25" customHeight="1">
      <c r="A6" s="391" t="s">
        <v>1444</v>
      </c>
      <c r="B6" s="724">
        <v>0</v>
      </c>
      <c r="C6" s="724">
        <v>0</v>
      </c>
      <c r="D6" s="724">
        <v>0</v>
      </c>
      <c r="E6" s="724">
        <v>0</v>
      </c>
      <c r="F6" s="724">
        <v>0</v>
      </c>
      <c r="G6" s="724">
        <v>0</v>
      </c>
      <c r="H6" s="724">
        <v>0</v>
      </c>
      <c r="I6" s="725">
        <v>0</v>
      </c>
      <c r="J6" s="724">
        <v>0</v>
      </c>
      <c r="K6" s="724">
        <v>0</v>
      </c>
      <c r="L6" s="724">
        <v>0</v>
      </c>
      <c r="M6" s="724">
        <v>0</v>
      </c>
      <c r="N6" s="724">
        <v>0</v>
      </c>
      <c r="O6" s="724">
        <v>2</v>
      </c>
      <c r="P6" s="724">
        <v>2</v>
      </c>
      <c r="Q6" s="725">
        <v>5</v>
      </c>
      <c r="R6" s="724">
        <v>0</v>
      </c>
      <c r="S6" s="724">
        <v>0</v>
      </c>
      <c r="T6" s="724">
        <v>0</v>
      </c>
      <c r="U6" s="724">
        <v>0</v>
      </c>
      <c r="V6" s="724">
        <v>0</v>
      </c>
      <c r="W6" s="724">
        <v>0</v>
      </c>
      <c r="X6" s="724">
        <f t="shared" si="0"/>
        <v>0</v>
      </c>
      <c r="Y6" s="725">
        <v>0</v>
      </c>
      <c r="AB6" s="726"/>
    </row>
    <row r="7" spans="1:28" s="11" customFormat="1" ht="26.25" customHeight="1">
      <c r="A7" s="391" t="s">
        <v>1445</v>
      </c>
      <c r="B7" s="724">
        <v>0</v>
      </c>
      <c r="C7" s="724">
        <v>0</v>
      </c>
      <c r="D7" s="724">
        <v>0</v>
      </c>
      <c r="E7" s="724">
        <v>0</v>
      </c>
      <c r="F7" s="724">
        <v>0</v>
      </c>
      <c r="G7" s="724">
        <v>2</v>
      </c>
      <c r="H7" s="724">
        <v>2</v>
      </c>
      <c r="I7" s="725">
        <v>6.1</v>
      </c>
      <c r="J7" s="724">
        <v>1</v>
      </c>
      <c r="K7" s="724">
        <v>0</v>
      </c>
      <c r="L7" s="724">
        <v>0</v>
      </c>
      <c r="M7" s="724">
        <v>0</v>
      </c>
      <c r="N7" s="724">
        <v>0</v>
      </c>
      <c r="O7" s="724">
        <v>0</v>
      </c>
      <c r="P7" s="724">
        <v>1</v>
      </c>
      <c r="Q7" s="725">
        <v>2.5</v>
      </c>
      <c r="R7" s="724">
        <v>1</v>
      </c>
      <c r="S7" s="724">
        <v>0</v>
      </c>
      <c r="T7" s="724">
        <v>0</v>
      </c>
      <c r="U7" s="724">
        <v>1</v>
      </c>
      <c r="V7" s="724">
        <v>0</v>
      </c>
      <c r="W7" s="724">
        <v>0</v>
      </c>
      <c r="X7" s="724">
        <f t="shared" si="0"/>
        <v>2</v>
      </c>
      <c r="Y7" s="725">
        <v>5.3</v>
      </c>
      <c r="AB7" s="726"/>
    </row>
    <row r="8" spans="1:28" s="11" customFormat="1" ht="26.25" customHeight="1">
      <c r="A8" s="391" t="s">
        <v>1446</v>
      </c>
      <c r="B8" s="724">
        <v>0</v>
      </c>
      <c r="C8" s="724">
        <v>0</v>
      </c>
      <c r="D8" s="724">
        <v>0</v>
      </c>
      <c r="E8" s="724">
        <v>0</v>
      </c>
      <c r="F8" s="724">
        <v>1</v>
      </c>
      <c r="G8" s="724">
        <v>0</v>
      </c>
      <c r="H8" s="724">
        <v>1</v>
      </c>
      <c r="I8" s="725">
        <v>3</v>
      </c>
      <c r="J8" s="724">
        <v>0</v>
      </c>
      <c r="K8" s="724">
        <v>0</v>
      </c>
      <c r="L8" s="724">
        <v>0</v>
      </c>
      <c r="M8" s="724">
        <v>0</v>
      </c>
      <c r="N8" s="724">
        <v>0</v>
      </c>
      <c r="O8" s="724">
        <v>0</v>
      </c>
      <c r="P8" s="724">
        <v>0</v>
      </c>
      <c r="Q8" s="725">
        <v>0</v>
      </c>
      <c r="R8" s="724">
        <v>0</v>
      </c>
      <c r="S8" s="724">
        <v>0</v>
      </c>
      <c r="T8" s="724">
        <v>0</v>
      </c>
      <c r="U8" s="724">
        <v>0</v>
      </c>
      <c r="V8" s="724">
        <v>0</v>
      </c>
      <c r="W8" s="724">
        <v>0</v>
      </c>
      <c r="X8" s="724">
        <f t="shared" si="0"/>
        <v>0</v>
      </c>
      <c r="Y8" s="725">
        <v>0</v>
      </c>
      <c r="AB8" s="726"/>
    </row>
    <row r="9" spans="1:28" s="11" customFormat="1" ht="26.25" customHeight="1">
      <c r="A9" s="391" t="s">
        <v>1447</v>
      </c>
      <c r="B9" s="724">
        <v>1</v>
      </c>
      <c r="C9" s="724">
        <v>0</v>
      </c>
      <c r="D9" s="724">
        <v>0</v>
      </c>
      <c r="E9" s="724">
        <v>0</v>
      </c>
      <c r="F9" s="724">
        <v>1</v>
      </c>
      <c r="G9" s="724">
        <v>0</v>
      </c>
      <c r="H9" s="724">
        <v>2</v>
      </c>
      <c r="I9" s="725">
        <v>6.1</v>
      </c>
      <c r="J9" s="724">
        <v>0</v>
      </c>
      <c r="K9" s="724">
        <v>0</v>
      </c>
      <c r="L9" s="724">
        <v>0</v>
      </c>
      <c r="M9" s="724">
        <v>0</v>
      </c>
      <c r="N9" s="724">
        <v>0</v>
      </c>
      <c r="O9" s="724">
        <v>0</v>
      </c>
      <c r="P9" s="724">
        <v>0</v>
      </c>
      <c r="Q9" s="725">
        <v>0</v>
      </c>
      <c r="R9" s="724">
        <v>0</v>
      </c>
      <c r="S9" s="724">
        <v>0</v>
      </c>
      <c r="T9" s="724">
        <v>0</v>
      </c>
      <c r="U9" s="724">
        <v>0</v>
      </c>
      <c r="V9" s="724">
        <v>0</v>
      </c>
      <c r="W9" s="724">
        <v>0</v>
      </c>
      <c r="X9" s="724">
        <f t="shared" si="0"/>
        <v>0</v>
      </c>
      <c r="Y9" s="725">
        <v>0</v>
      </c>
      <c r="AB9" s="726"/>
    </row>
    <row r="10" spans="1:28" s="11" customFormat="1" ht="26.25" customHeight="1">
      <c r="A10" s="391" t="s">
        <v>1448</v>
      </c>
      <c r="B10" s="727">
        <v>0</v>
      </c>
      <c r="C10" s="724">
        <v>0</v>
      </c>
      <c r="D10" s="724">
        <v>2</v>
      </c>
      <c r="E10" s="724">
        <v>1</v>
      </c>
      <c r="F10" s="724">
        <v>0</v>
      </c>
      <c r="G10" s="724">
        <v>1</v>
      </c>
      <c r="H10" s="724">
        <v>4</v>
      </c>
      <c r="I10" s="725">
        <v>12.1</v>
      </c>
      <c r="J10" s="727">
        <v>2</v>
      </c>
      <c r="K10" s="724">
        <v>0</v>
      </c>
      <c r="L10" s="724">
        <v>0</v>
      </c>
      <c r="M10" s="724">
        <v>0</v>
      </c>
      <c r="N10" s="724">
        <v>0</v>
      </c>
      <c r="O10" s="724">
        <v>0</v>
      </c>
      <c r="P10" s="724">
        <v>2</v>
      </c>
      <c r="Q10" s="725">
        <v>5</v>
      </c>
      <c r="R10" s="727" t="s">
        <v>1449</v>
      </c>
      <c r="S10" s="724">
        <v>0</v>
      </c>
      <c r="T10" s="724">
        <v>0</v>
      </c>
      <c r="U10" s="724">
        <v>1</v>
      </c>
      <c r="V10" s="724">
        <v>0</v>
      </c>
      <c r="W10" s="724">
        <v>1</v>
      </c>
      <c r="X10" s="724">
        <v>5</v>
      </c>
      <c r="Y10" s="725">
        <v>13.2</v>
      </c>
      <c r="AB10" s="726"/>
    </row>
    <row r="11" spans="1:28" s="11" customFormat="1" ht="26.25" customHeight="1">
      <c r="A11" s="391" t="s">
        <v>1450</v>
      </c>
      <c r="B11" s="727">
        <v>1</v>
      </c>
      <c r="C11" s="724">
        <v>0</v>
      </c>
      <c r="D11" s="724">
        <v>2</v>
      </c>
      <c r="E11" s="724">
        <v>0</v>
      </c>
      <c r="F11" s="724">
        <v>0</v>
      </c>
      <c r="G11" s="724">
        <v>0</v>
      </c>
      <c r="H11" s="724">
        <v>3</v>
      </c>
      <c r="I11" s="725">
        <v>9.1</v>
      </c>
      <c r="J11" s="727">
        <v>1</v>
      </c>
      <c r="K11" s="724">
        <v>0</v>
      </c>
      <c r="L11" s="724">
        <v>0</v>
      </c>
      <c r="M11" s="724">
        <v>0</v>
      </c>
      <c r="N11" s="724">
        <v>0</v>
      </c>
      <c r="O11" s="724">
        <v>0</v>
      </c>
      <c r="P11" s="724">
        <v>1</v>
      </c>
      <c r="Q11" s="725">
        <v>2.5</v>
      </c>
      <c r="R11" s="727">
        <v>0</v>
      </c>
      <c r="S11" s="724">
        <v>0</v>
      </c>
      <c r="T11" s="724">
        <v>1</v>
      </c>
      <c r="U11" s="724">
        <v>0</v>
      </c>
      <c r="V11" s="724">
        <v>1</v>
      </c>
      <c r="W11" s="724">
        <v>1</v>
      </c>
      <c r="X11" s="724">
        <f t="shared" si="0"/>
        <v>3</v>
      </c>
      <c r="Y11" s="725">
        <v>7.9</v>
      </c>
      <c r="AB11" s="726"/>
    </row>
    <row r="12" spans="1:28" s="11" customFormat="1" ht="26.25" customHeight="1">
      <c r="A12" s="391" t="s">
        <v>1451</v>
      </c>
      <c r="B12" s="724">
        <v>0</v>
      </c>
      <c r="C12" s="724">
        <v>0</v>
      </c>
      <c r="D12" s="724">
        <v>0</v>
      </c>
      <c r="E12" s="724">
        <v>0</v>
      </c>
      <c r="F12" s="724">
        <v>0</v>
      </c>
      <c r="G12" s="724">
        <v>0</v>
      </c>
      <c r="H12" s="724">
        <v>0</v>
      </c>
      <c r="I12" s="725">
        <v>0</v>
      </c>
      <c r="J12" s="724">
        <v>0</v>
      </c>
      <c r="K12" s="724">
        <v>0</v>
      </c>
      <c r="L12" s="724">
        <v>0</v>
      </c>
      <c r="M12" s="724">
        <v>0</v>
      </c>
      <c r="N12" s="724">
        <v>0</v>
      </c>
      <c r="O12" s="724">
        <v>0</v>
      </c>
      <c r="P12" s="724">
        <v>0</v>
      </c>
      <c r="Q12" s="725">
        <v>0</v>
      </c>
      <c r="R12" s="724">
        <v>0</v>
      </c>
      <c r="S12" s="724">
        <v>0</v>
      </c>
      <c r="T12" s="724">
        <v>0</v>
      </c>
      <c r="U12" s="724">
        <v>0</v>
      </c>
      <c r="V12" s="724">
        <v>0</v>
      </c>
      <c r="W12" s="724">
        <v>0</v>
      </c>
      <c r="X12" s="724">
        <f t="shared" si="0"/>
        <v>0</v>
      </c>
      <c r="Y12" s="725">
        <v>0</v>
      </c>
      <c r="AB12" s="726"/>
    </row>
    <row r="13" spans="1:28" s="11" customFormat="1" ht="26.25" customHeight="1">
      <c r="A13" s="391" t="s">
        <v>1452</v>
      </c>
      <c r="B13" s="724">
        <v>0</v>
      </c>
      <c r="C13" s="724">
        <v>0</v>
      </c>
      <c r="D13" s="724">
        <v>0</v>
      </c>
      <c r="E13" s="724">
        <v>0</v>
      </c>
      <c r="F13" s="724">
        <v>0</v>
      </c>
      <c r="G13" s="724">
        <v>2</v>
      </c>
      <c r="H13" s="724">
        <v>2</v>
      </c>
      <c r="I13" s="725">
        <v>6.1</v>
      </c>
      <c r="J13" s="724">
        <v>0</v>
      </c>
      <c r="K13" s="724">
        <v>0</v>
      </c>
      <c r="L13" s="724">
        <v>0</v>
      </c>
      <c r="M13" s="724">
        <v>1</v>
      </c>
      <c r="N13" s="724">
        <v>0</v>
      </c>
      <c r="O13" s="724">
        <v>0</v>
      </c>
      <c r="P13" s="724">
        <v>1</v>
      </c>
      <c r="Q13" s="725">
        <v>2.5</v>
      </c>
      <c r="R13" s="724">
        <v>2</v>
      </c>
      <c r="S13" s="724">
        <v>0</v>
      </c>
      <c r="T13" s="724">
        <v>1</v>
      </c>
      <c r="U13" s="724">
        <v>0</v>
      </c>
      <c r="V13" s="724">
        <v>0</v>
      </c>
      <c r="W13" s="724">
        <v>0</v>
      </c>
      <c r="X13" s="724">
        <f t="shared" si="0"/>
        <v>3</v>
      </c>
      <c r="Y13" s="725">
        <v>7.9</v>
      </c>
      <c r="AB13" s="726"/>
    </row>
    <row r="14" spans="1:28" s="11" customFormat="1" ht="26.25" customHeight="1">
      <c r="A14" s="391" t="s">
        <v>1453</v>
      </c>
      <c r="B14" s="727">
        <v>1</v>
      </c>
      <c r="C14" s="724">
        <v>0</v>
      </c>
      <c r="D14" s="724">
        <v>0</v>
      </c>
      <c r="E14" s="724">
        <v>0</v>
      </c>
      <c r="F14" s="724">
        <v>0</v>
      </c>
      <c r="G14" s="724">
        <v>2</v>
      </c>
      <c r="H14" s="724">
        <v>3</v>
      </c>
      <c r="I14" s="725">
        <v>9.1</v>
      </c>
      <c r="J14" s="727">
        <v>2</v>
      </c>
      <c r="K14" s="724">
        <v>0</v>
      </c>
      <c r="L14" s="724">
        <v>0</v>
      </c>
      <c r="M14" s="724">
        <v>0</v>
      </c>
      <c r="N14" s="724">
        <v>0</v>
      </c>
      <c r="O14" s="724">
        <v>2</v>
      </c>
      <c r="P14" s="724">
        <v>4</v>
      </c>
      <c r="Q14" s="725">
        <v>10</v>
      </c>
      <c r="R14" s="727">
        <v>4</v>
      </c>
      <c r="S14" s="724">
        <v>0</v>
      </c>
      <c r="T14" s="724">
        <v>0</v>
      </c>
      <c r="U14" s="724">
        <v>0</v>
      </c>
      <c r="V14" s="724">
        <v>0</v>
      </c>
      <c r="W14" s="724">
        <v>2</v>
      </c>
      <c r="X14" s="724">
        <f t="shared" si="0"/>
        <v>6</v>
      </c>
      <c r="Y14" s="725">
        <v>15.8</v>
      </c>
      <c r="AB14" s="726"/>
    </row>
    <row r="15" spans="1:28" s="11" customFormat="1" ht="26.25" customHeight="1">
      <c r="A15" s="728" t="s">
        <v>1454</v>
      </c>
      <c r="B15" s="729">
        <v>0</v>
      </c>
      <c r="C15" s="729">
        <v>0</v>
      </c>
      <c r="D15" s="729">
        <v>0</v>
      </c>
      <c r="E15" s="729">
        <v>0</v>
      </c>
      <c r="F15" s="729">
        <v>0</v>
      </c>
      <c r="G15" s="729">
        <v>1</v>
      </c>
      <c r="H15" s="729">
        <v>1</v>
      </c>
      <c r="I15" s="730">
        <v>3</v>
      </c>
      <c r="J15" s="729">
        <v>0</v>
      </c>
      <c r="K15" s="729">
        <v>0</v>
      </c>
      <c r="L15" s="729">
        <v>0</v>
      </c>
      <c r="M15" s="729">
        <v>0</v>
      </c>
      <c r="N15" s="729">
        <v>0</v>
      </c>
      <c r="O15" s="729">
        <v>2</v>
      </c>
      <c r="P15" s="729">
        <v>2</v>
      </c>
      <c r="Q15" s="730">
        <v>5</v>
      </c>
      <c r="R15" s="729">
        <v>1</v>
      </c>
      <c r="S15" s="729">
        <v>0</v>
      </c>
      <c r="T15" s="729">
        <v>0</v>
      </c>
      <c r="U15" s="729">
        <v>0</v>
      </c>
      <c r="V15" s="729">
        <v>0</v>
      </c>
      <c r="W15" s="729">
        <v>1</v>
      </c>
      <c r="X15" s="729">
        <f t="shared" si="0"/>
        <v>2</v>
      </c>
      <c r="Y15" s="730">
        <v>5.2</v>
      </c>
      <c r="AB15" s="726"/>
    </row>
    <row r="16" spans="1:28" s="11" customFormat="1" ht="26.25" customHeight="1">
      <c r="A16" s="131" t="s">
        <v>1455</v>
      </c>
      <c r="B16" s="731">
        <v>6</v>
      </c>
      <c r="C16" s="731">
        <v>0</v>
      </c>
      <c r="D16" s="731">
        <v>8</v>
      </c>
      <c r="E16" s="731">
        <v>1</v>
      </c>
      <c r="F16" s="731">
        <v>2</v>
      </c>
      <c r="G16" s="731">
        <v>16</v>
      </c>
      <c r="H16" s="732">
        <v>33</v>
      </c>
      <c r="I16" s="733">
        <v>99.999999999999986</v>
      </c>
      <c r="J16" s="731">
        <v>12</v>
      </c>
      <c r="K16" s="731">
        <v>0</v>
      </c>
      <c r="L16" s="731">
        <v>4</v>
      </c>
      <c r="M16" s="731">
        <v>4</v>
      </c>
      <c r="N16" s="731">
        <v>0</v>
      </c>
      <c r="O16" s="731">
        <v>20</v>
      </c>
      <c r="P16" s="732">
        <v>40</v>
      </c>
      <c r="Q16" s="733">
        <v>100</v>
      </c>
      <c r="R16" s="731" t="s">
        <v>1456</v>
      </c>
      <c r="S16" s="731">
        <v>0</v>
      </c>
      <c r="T16" s="731">
        <v>3</v>
      </c>
      <c r="U16" s="731">
        <v>4</v>
      </c>
      <c r="V16" s="731">
        <v>1</v>
      </c>
      <c r="W16" s="731">
        <v>14</v>
      </c>
      <c r="X16" s="732">
        <v>38</v>
      </c>
      <c r="Y16" s="733">
        <f>SUM(Y4:Y15)</f>
        <v>100</v>
      </c>
    </row>
    <row r="17" spans="1:25" s="11" customFormat="1" ht="26.25" customHeight="1" thickBot="1">
      <c r="A17" s="220" t="s">
        <v>1457</v>
      </c>
      <c r="B17" s="734">
        <v>18.2</v>
      </c>
      <c r="C17" s="734">
        <v>0</v>
      </c>
      <c r="D17" s="734">
        <v>24.2</v>
      </c>
      <c r="E17" s="734">
        <v>3</v>
      </c>
      <c r="F17" s="734">
        <v>6.1</v>
      </c>
      <c r="G17" s="734">
        <v>48.5</v>
      </c>
      <c r="H17" s="735">
        <v>100</v>
      </c>
      <c r="I17" s="736"/>
      <c r="J17" s="734">
        <v>30</v>
      </c>
      <c r="K17" s="734">
        <v>0</v>
      </c>
      <c r="L17" s="734">
        <v>10</v>
      </c>
      <c r="M17" s="734">
        <v>10</v>
      </c>
      <c r="N17" s="734">
        <v>0</v>
      </c>
      <c r="O17" s="734">
        <v>50</v>
      </c>
      <c r="P17" s="735">
        <v>100</v>
      </c>
      <c r="Q17" s="736"/>
      <c r="R17" s="734">
        <v>42.1</v>
      </c>
      <c r="S17" s="734">
        <v>0</v>
      </c>
      <c r="T17" s="734">
        <v>7.9</v>
      </c>
      <c r="U17" s="734">
        <v>10.5</v>
      </c>
      <c r="V17" s="734">
        <v>2.6</v>
      </c>
      <c r="W17" s="734">
        <v>36.799999999999997</v>
      </c>
      <c r="X17" s="735">
        <f t="shared" si="0"/>
        <v>99.9</v>
      </c>
      <c r="Y17" s="736"/>
    </row>
    <row r="18" spans="1:25" s="11" customFormat="1" ht="26.25" customHeight="1">
      <c r="A18" s="11" t="s">
        <v>1458</v>
      </c>
    </row>
    <row r="19" spans="1:25" s="11" customFormat="1" ht="26.25" customHeight="1">
      <c r="A19" s="11" t="s">
        <v>1459</v>
      </c>
    </row>
    <row r="20" spans="1:25" s="11" customFormat="1" ht="26.25" customHeight="1">
      <c r="A20" s="11" t="s">
        <v>1460</v>
      </c>
    </row>
    <row r="21" spans="1:25" s="11" customFormat="1" ht="26.25" customHeight="1"/>
    <row r="22" spans="1:25" s="11" customFormat="1" ht="15.75" customHeight="1"/>
  </sheetData>
  <mergeCells count="4">
    <mergeCell ref="A2:A3"/>
    <mergeCell ref="B2:I2"/>
    <mergeCell ref="J2:Q2"/>
    <mergeCell ref="R2:Y2"/>
  </mergeCells>
  <phoneticPr fontId="4"/>
  <printOptions horizontalCentered="1"/>
  <pageMargins left="0.70866141732283472" right="0.70866141732283472" top="0.74803149606299213" bottom="0.74803149606299213"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44E4-E9DA-4D6A-BCE7-D99001FE6343}">
  <sheetPr codeName="Sheet52"/>
  <dimension ref="A1:H15"/>
  <sheetViews>
    <sheetView workbookViewId="0"/>
  </sheetViews>
  <sheetFormatPr defaultColWidth="9" defaultRowHeight="13.2"/>
  <cols>
    <col min="1" max="1" width="24.5" style="2" customWidth="1"/>
    <col min="2" max="7" width="12.296875" style="2" customWidth="1"/>
    <col min="8" max="8" width="13.5" style="2" customWidth="1"/>
    <col min="9" max="16384" width="9" style="2"/>
  </cols>
  <sheetData>
    <row r="1" spans="1:8" ht="30" customHeight="1" thickBot="1">
      <c r="A1" s="259" t="s">
        <v>1461</v>
      </c>
      <c r="B1" s="259"/>
      <c r="C1" s="259"/>
      <c r="D1" s="259"/>
      <c r="H1" s="260" t="s">
        <v>1462</v>
      </c>
    </row>
    <row r="2" spans="1:8" ht="17.25" customHeight="1">
      <c r="A2" s="2185" t="s">
        <v>1463</v>
      </c>
      <c r="B2" s="2572" t="s">
        <v>1464</v>
      </c>
      <c r="C2" s="2202" t="s">
        <v>1465</v>
      </c>
      <c r="D2" s="2205" t="s">
        <v>1466</v>
      </c>
      <c r="E2" s="737" t="s">
        <v>1467</v>
      </c>
      <c r="F2" s="737"/>
      <c r="G2" s="737"/>
      <c r="H2" s="2186" t="s">
        <v>1468</v>
      </c>
    </row>
    <row r="3" spans="1:8" ht="17.25" customHeight="1">
      <c r="A3" s="2611"/>
      <c r="B3" s="2612"/>
      <c r="C3" s="2193"/>
      <c r="D3" s="2193"/>
      <c r="E3" s="130" t="s">
        <v>1469</v>
      </c>
      <c r="F3" s="130" t="s">
        <v>1470</v>
      </c>
      <c r="G3" s="130" t="s">
        <v>33</v>
      </c>
      <c r="H3" s="2189"/>
    </row>
    <row r="4" spans="1:8" ht="15" customHeight="1">
      <c r="A4" s="384"/>
      <c r="B4" s="738"/>
      <c r="C4" s="738"/>
      <c r="D4" s="739" t="s">
        <v>229</v>
      </c>
      <c r="E4" s="740" t="s">
        <v>1471</v>
      </c>
      <c r="F4" s="740" t="s">
        <v>1471</v>
      </c>
      <c r="G4" s="740" t="s">
        <v>1471</v>
      </c>
      <c r="H4" s="741" t="s">
        <v>1471</v>
      </c>
    </row>
    <row r="5" spans="1:8" ht="31.5" customHeight="1">
      <c r="A5" s="742" t="s">
        <v>1472</v>
      </c>
      <c r="B5" s="743" t="s">
        <v>1473</v>
      </c>
      <c r="C5" s="272" t="s">
        <v>1474</v>
      </c>
      <c r="D5" s="744" t="s">
        <v>345</v>
      </c>
      <c r="E5" s="745" t="s">
        <v>345</v>
      </c>
      <c r="F5" s="745" t="s">
        <v>345</v>
      </c>
      <c r="G5" s="745" t="s">
        <v>345</v>
      </c>
      <c r="H5" s="746" t="s">
        <v>345</v>
      </c>
    </row>
    <row r="6" spans="1:8" ht="31.5" customHeight="1">
      <c r="A6" s="742" t="s">
        <v>1475</v>
      </c>
      <c r="B6" s="743" t="s">
        <v>1476</v>
      </c>
      <c r="C6" s="272" t="s">
        <v>1477</v>
      </c>
      <c r="D6" s="747">
        <v>150</v>
      </c>
      <c r="E6" s="748">
        <v>1986.46</v>
      </c>
      <c r="F6" s="748">
        <v>1010.34</v>
      </c>
      <c r="G6" s="748">
        <v>976.12</v>
      </c>
      <c r="H6" s="749">
        <v>2175.3000000000002</v>
      </c>
    </row>
    <row r="7" spans="1:8" ht="31.5" customHeight="1">
      <c r="A7" s="742" t="s">
        <v>1478</v>
      </c>
      <c r="B7" s="743" t="s">
        <v>1479</v>
      </c>
      <c r="C7" s="272" t="s">
        <v>1480</v>
      </c>
      <c r="D7" s="747">
        <v>180</v>
      </c>
      <c r="E7" s="748">
        <v>1815.4</v>
      </c>
      <c r="F7" s="748">
        <v>938</v>
      </c>
      <c r="G7" s="748">
        <v>877.4</v>
      </c>
      <c r="H7" s="749">
        <v>1613</v>
      </c>
    </row>
    <row r="8" spans="1:8" ht="31.5" customHeight="1">
      <c r="A8" s="742" t="s">
        <v>1481</v>
      </c>
      <c r="B8" s="743" t="s">
        <v>1482</v>
      </c>
      <c r="C8" s="750" t="s">
        <v>1483</v>
      </c>
      <c r="D8" s="747">
        <v>60</v>
      </c>
      <c r="E8" s="748">
        <v>700.61</v>
      </c>
      <c r="F8" s="748">
        <v>392</v>
      </c>
      <c r="G8" s="748">
        <v>308.61</v>
      </c>
      <c r="H8" s="749">
        <v>1216.3</v>
      </c>
    </row>
    <row r="9" spans="1:8" ht="31.5" customHeight="1">
      <c r="A9" s="742" t="s">
        <v>1484</v>
      </c>
      <c r="B9" s="743" t="s">
        <v>1485</v>
      </c>
      <c r="C9" s="750" t="s">
        <v>1486</v>
      </c>
      <c r="D9" s="747">
        <v>60</v>
      </c>
      <c r="E9" s="748">
        <v>816.92000000000007</v>
      </c>
      <c r="F9" s="748">
        <v>410</v>
      </c>
      <c r="G9" s="748">
        <v>406.92000000000007</v>
      </c>
      <c r="H9" s="749">
        <v>901</v>
      </c>
    </row>
    <row r="10" spans="1:8" ht="31.5" customHeight="1">
      <c r="A10" s="742" t="s">
        <v>1487</v>
      </c>
      <c r="B10" s="743" t="s">
        <v>1488</v>
      </c>
      <c r="C10" s="750" t="s">
        <v>1489</v>
      </c>
      <c r="D10" s="747">
        <v>45</v>
      </c>
      <c r="E10" s="748">
        <v>597.9</v>
      </c>
      <c r="F10" s="748">
        <v>360</v>
      </c>
      <c r="G10" s="748">
        <v>237.9</v>
      </c>
      <c r="H10" s="749">
        <v>920</v>
      </c>
    </row>
    <row r="11" spans="1:8" ht="31.5" customHeight="1">
      <c r="A11" s="742" t="s">
        <v>1490</v>
      </c>
      <c r="B11" s="743" t="s">
        <v>1491</v>
      </c>
      <c r="C11" s="750" t="s">
        <v>1492</v>
      </c>
      <c r="D11" s="747">
        <v>45</v>
      </c>
      <c r="E11" s="748">
        <v>460.42</v>
      </c>
      <c r="F11" s="748">
        <v>151.69</v>
      </c>
      <c r="G11" s="748">
        <v>308.73</v>
      </c>
      <c r="H11" s="749">
        <v>3074.58</v>
      </c>
    </row>
    <row r="12" spans="1:8" ht="31.5" customHeight="1" thickBot="1">
      <c r="A12" s="751" t="s">
        <v>1493</v>
      </c>
      <c r="B12" s="752" t="s">
        <v>1494</v>
      </c>
      <c r="C12" s="753" t="s">
        <v>1495</v>
      </c>
      <c r="D12" s="754">
        <v>110</v>
      </c>
      <c r="E12" s="755">
        <v>1495.6599999999999</v>
      </c>
      <c r="F12" s="755">
        <v>629.92999999999995</v>
      </c>
      <c r="G12" s="755">
        <v>865.7299999999999</v>
      </c>
      <c r="H12" s="756">
        <v>1765</v>
      </c>
    </row>
    <row r="13" spans="1:8" ht="31.5" customHeight="1">
      <c r="A13" s="11" t="s">
        <v>1496</v>
      </c>
      <c r="C13" s="757"/>
    </row>
    <row r="14" spans="1:8" ht="18" customHeight="1">
      <c r="A14" s="11"/>
    </row>
    <row r="15" spans="1:8" ht="18" customHeight="1">
      <c r="A15" s="11"/>
    </row>
  </sheetData>
  <mergeCells count="5">
    <mergeCell ref="A2:A3"/>
    <mergeCell ref="B2:B3"/>
    <mergeCell ref="C2:C3"/>
    <mergeCell ref="D2:D3"/>
    <mergeCell ref="H2:H3"/>
  </mergeCells>
  <phoneticPr fontId="4"/>
  <pageMargins left="0.98425196850393704" right="0.98425196850393704"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6BB2-8C29-42F9-A081-49889DB049B8}">
  <sheetPr codeName="Sheet3">
    <pageSetUpPr fitToPage="1"/>
  </sheetPr>
  <dimension ref="A1:K26"/>
  <sheetViews>
    <sheetView workbookViewId="0"/>
  </sheetViews>
  <sheetFormatPr defaultColWidth="9" defaultRowHeight="13.2"/>
  <cols>
    <col min="1" max="1" width="7.5" style="30" bestFit="1" customWidth="1"/>
    <col min="2" max="16384" width="9" style="30"/>
  </cols>
  <sheetData>
    <row r="1" spans="1:11" s="12" customFormat="1" ht="30" customHeight="1">
      <c r="A1" s="1" t="s">
        <v>21</v>
      </c>
      <c r="J1" s="13"/>
      <c r="K1" s="13" t="s">
        <v>22</v>
      </c>
    </row>
    <row r="2" spans="1:11" s="12" customFormat="1" ht="15" customHeight="1" thickBot="1">
      <c r="B2" s="1"/>
      <c r="J2" s="2179" t="s">
        <v>23</v>
      </c>
      <c r="K2" s="2179"/>
    </row>
    <row r="3" spans="1:11" s="12" customFormat="1" ht="21" customHeight="1" thickBot="1">
      <c r="A3" s="14"/>
      <c r="B3" s="15" t="s">
        <v>24</v>
      </c>
      <c r="C3" s="16" t="s">
        <v>25</v>
      </c>
      <c r="D3" s="16" t="s">
        <v>26</v>
      </c>
      <c r="E3" s="16" t="s">
        <v>27</v>
      </c>
      <c r="F3" s="15" t="s">
        <v>28</v>
      </c>
      <c r="G3" s="16" t="s">
        <v>29</v>
      </c>
      <c r="H3" s="16" t="s">
        <v>30</v>
      </c>
      <c r="I3" s="16" t="s">
        <v>31</v>
      </c>
      <c r="J3" s="16" t="s">
        <v>32</v>
      </c>
      <c r="K3" s="17" t="s">
        <v>33</v>
      </c>
    </row>
    <row r="4" spans="1:11" s="12" customFormat="1" ht="21.9" customHeight="1">
      <c r="A4" s="18" t="s">
        <v>34</v>
      </c>
      <c r="B4" s="19" t="s">
        <v>35</v>
      </c>
      <c r="C4" s="20">
        <v>564.99</v>
      </c>
      <c r="D4" s="20">
        <v>23.43</v>
      </c>
      <c r="E4" s="20">
        <v>4.72</v>
      </c>
      <c r="F4" s="20">
        <v>10.78</v>
      </c>
      <c r="G4" s="20">
        <v>178.79</v>
      </c>
      <c r="H4" s="20">
        <v>2.72</v>
      </c>
      <c r="I4" s="20">
        <v>10.6</v>
      </c>
      <c r="J4" s="20">
        <v>4.8600000000000003</v>
      </c>
      <c r="K4" s="21">
        <v>329.09</v>
      </c>
    </row>
    <row r="5" spans="1:11" s="12" customFormat="1" ht="21.9" customHeight="1" thickBot="1">
      <c r="A5" s="22"/>
      <c r="B5" s="23" t="s">
        <v>36</v>
      </c>
      <c r="C5" s="24">
        <v>100</v>
      </c>
      <c r="D5" s="24">
        <v>4.0999999999999996</v>
      </c>
      <c r="E5" s="24">
        <v>0.8</v>
      </c>
      <c r="F5" s="24">
        <v>1.9</v>
      </c>
      <c r="G5" s="24">
        <v>31.6</v>
      </c>
      <c r="H5" s="24">
        <v>0.5</v>
      </c>
      <c r="I5" s="24">
        <v>1.9</v>
      </c>
      <c r="J5" s="24">
        <v>0.9</v>
      </c>
      <c r="K5" s="25">
        <v>58.3</v>
      </c>
    </row>
    <row r="6" spans="1:11" s="12" customFormat="1" ht="21.9" customHeight="1">
      <c r="A6" s="18" t="s">
        <v>37</v>
      </c>
      <c r="B6" s="19" t="s">
        <v>35</v>
      </c>
      <c r="C6" s="20">
        <v>564.99</v>
      </c>
      <c r="D6" s="20">
        <v>23.36</v>
      </c>
      <c r="E6" s="20">
        <v>4.68</v>
      </c>
      <c r="F6" s="20">
        <v>10.77</v>
      </c>
      <c r="G6" s="20">
        <v>177.97</v>
      </c>
      <c r="H6" s="20">
        <v>2.72</v>
      </c>
      <c r="I6" s="20">
        <v>10.6</v>
      </c>
      <c r="J6" s="20">
        <v>4.8600000000000003</v>
      </c>
      <c r="K6" s="21">
        <v>330.03</v>
      </c>
    </row>
    <row r="7" spans="1:11" s="12" customFormat="1" ht="21.9" customHeight="1" thickBot="1">
      <c r="A7" s="22"/>
      <c r="B7" s="23" t="s">
        <v>36</v>
      </c>
      <c r="C7" s="24">
        <v>100</v>
      </c>
      <c r="D7" s="24">
        <v>4.1345864528575724</v>
      </c>
      <c r="E7" s="24">
        <v>0.82833324483619175</v>
      </c>
      <c r="F7" s="24">
        <v>1.906228428821749</v>
      </c>
      <c r="G7" s="24">
        <v>31.499672560576293</v>
      </c>
      <c r="H7" s="24">
        <v>0.48142444999026535</v>
      </c>
      <c r="I7" s="24">
        <v>1.8761394006973575</v>
      </c>
      <c r="J7" s="24">
        <v>0.8601922157914299</v>
      </c>
      <c r="K7" s="25">
        <v>58.413423246429133</v>
      </c>
    </row>
    <row r="8" spans="1:11" s="12" customFormat="1" ht="21.9" customHeight="1">
      <c r="A8" s="18" t="s">
        <v>38</v>
      </c>
      <c r="B8" s="19" t="s">
        <v>35</v>
      </c>
      <c r="C8" s="20">
        <v>564.99</v>
      </c>
      <c r="D8" s="20">
        <v>23.32</v>
      </c>
      <c r="E8" s="20">
        <v>4.67</v>
      </c>
      <c r="F8" s="20">
        <v>10.77</v>
      </c>
      <c r="G8" s="20">
        <v>167.63</v>
      </c>
      <c r="H8" s="20">
        <v>2.71</v>
      </c>
      <c r="I8" s="20">
        <v>10.6</v>
      </c>
      <c r="J8" s="20">
        <v>4.95</v>
      </c>
      <c r="K8" s="21">
        <v>340.34</v>
      </c>
    </row>
    <row r="9" spans="1:11" s="12" customFormat="1" ht="21.9" customHeight="1" thickBot="1">
      <c r="A9" s="22"/>
      <c r="B9" s="23" t="s">
        <v>36</v>
      </c>
      <c r="C9" s="24">
        <v>100</v>
      </c>
      <c r="D9" s="25">
        <v>4.1275066815341859</v>
      </c>
      <c r="E9" s="25">
        <v>0.82656330200534511</v>
      </c>
      <c r="F9" s="25">
        <v>1.906228428821749</v>
      </c>
      <c r="G9" s="25">
        <v>29.669551673480942</v>
      </c>
      <c r="H9" s="25">
        <v>0.47965450715941871</v>
      </c>
      <c r="I9" s="25">
        <v>1.8761394006973575</v>
      </c>
      <c r="J9" s="25">
        <v>0.87612170126904909</v>
      </c>
      <c r="K9" s="25">
        <v>60.238234305031945</v>
      </c>
    </row>
    <row r="10" spans="1:11" s="12" customFormat="1" ht="21.9" customHeight="1">
      <c r="A10" s="18" t="s">
        <v>39</v>
      </c>
      <c r="B10" s="19" t="s">
        <v>35</v>
      </c>
      <c r="C10" s="20">
        <v>564.99</v>
      </c>
      <c r="D10" s="20">
        <v>23.25</v>
      </c>
      <c r="E10" s="20">
        <v>4.6399999999999997</v>
      </c>
      <c r="F10" s="20">
        <v>10.79</v>
      </c>
      <c r="G10" s="20">
        <v>167.43</v>
      </c>
      <c r="H10" s="20">
        <v>2.71</v>
      </c>
      <c r="I10" s="20">
        <v>10.6</v>
      </c>
      <c r="J10" s="20">
        <v>5.03</v>
      </c>
      <c r="K10" s="21">
        <v>340.54</v>
      </c>
    </row>
    <row r="11" spans="1:11" s="12" customFormat="1" ht="21.9" customHeight="1" thickBot="1">
      <c r="A11" s="22"/>
      <c r="B11" s="23" t="s">
        <v>36</v>
      </c>
      <c r="C11" s="24">
        <v>100</v>
      </c>
      <c r="D11" s="25">
        <v>4.1151170817182603</v>
      </c>
      <c r="E11" s="25">
        <v>0.82125347351280542</v>
      </c>
      <c r="F11" s="25">
        <v>1.9097683144834419</v>
      </c>
      <c r="G11" s="25">
        <v>29.634152816864017</v>
      </c>
      <c r="H11" s="25">
        <v>0.47965450715941871</v>
      </c>
      <c r="I11" s="25">
        <v>1.8761394006973575</v>
      </c>
      <c r="J11" s="25">
        <v>0.89028124391582164</v>
      </c>
      <c r="K11" s="25">
        <v>60.273633161648874</v>
      </c>
    </row>
    <row r="12" spans="1:11" s="12" customFormat="1" ht="21.9" customHeight="1">
      <c r="A12" s="18" t="s">
        <v>40</v>
      </c>
      <c r="B12" s="26" t="s">
        <v>35</v>
      </c>
      <c r="C12" s="27">
        <v>564.99</v>
      </c>
      <c r="D12" s="28">
        <v>23.27</v>
      </c>
      <c r="E12" s="28">
        <v>4.6500000000000004</v>
      </c>
      <c r="F12" s="28">
        <v>10.79</v>
      </c>
      <c r="G12" s="28">
        <v>167.54</v>
      </c>
      <c r="H12" s="28">
        <v>2.69</v>
      </c>
      <c r="I12" s="28">
        <v>10.59</v>
      </c>
      <c r="J12" s="28">
        <v>5.04</v>
      </c>
      <c r="K12" s="28">
        <v>340.42</v>
      </c>
    </row>
    <row r="13" spans="1:11" s="12" customFormat="1" ht="21.9" customHeight="1" thickBot="1">
      <c r="A13" s="22"/>
      <c r="B13" s="23" t="s">
        <v>36</v>
      </c>
      <c r="C13" s="24">
        <v>100</v>
      </c>
      <c r="D13" s="25">
        <v>4.0999999999999996</v>
      </c>
      <c r="E13" s="25">
        <v>0.8</v>
      </c>
      <c r="F13" s="25">
        <v>1.9</v>
      </c>
      <c r="G13" s="25">
        <v>29.7</v>
      </c>
      <c r="H13" s="25">
        <v>0.5</v>
      </c>
      <c r="I13" s="25">
        <v>1.9</v>
      </c>
      <c r="J13" s="25">
        <v>0.9</v>
      </c>
      <c r="K13" s="25">
        <v>60.3</v>
      </c>
    </row>
    <row r="14" spans="1:11" s="12" customFormat="1" ht="21.9" customHeight="1">
      <c r="A14" s="18" t="s">
        <v>41</v>
      </c>
      <c r="B14" s="26" t="s">
        <v>35</v>
      </c>
      <c r="C14" s="27">
        <v>565.15</v>
      </c>
      <c r="D14" s="28">
        <v>23.12</v>
      </c>
      <c r="E14" s="28">
        <v>4.41</v>
      </c>
      <c r="F14" s="28">
        <v>10.82</v>
      </c>
      <c r="G14" s="28">
        <v>167.76</v>
      </c>
      <c r="H14" s="28">
        <v>2.71</v>
      </c>
      <c r="I14" s="28">
        <v>10.6</v>
      </c>
      <c r="J14" s="28">
        <v>5.34</v>
      </c>
      <c r="K14" s="28">
        <v>340.39</v>
      </c>
    </row>
    <row r="15" spans="1:11" s="12" customFormat="1" ht="21.6" customHeight="1" thickBot="1">
      <c r="A15" s="22"/>
      <c r="B15" s="23" t="s">
        <v>36</v>
      </c>
      <c r="C15" s="24">
        <v>100</v>
      </c>
      <c r="D15" s="25">
        <f>+D14/$C$14*100</f>
        <v>4.0909493054941164</v>
      </c>
      <c r="E15" s="25">
        <f t="shared" ref="E15:K15" si="0">+E14/$C$14*100</f>
        <v>0.78032380783862698</v>
      </c>
      <c r="F15" s="25">
        <f t="shared" si="0"/>
        <v>1.9145359639033885</v>
      </c>
      <c r="G15" s="25">
        <f t="shared" si="0"/>
        <v>29.684154649208171</v>
      </c>
      <c r="H15" s="25">
        <f t="shared" si="0"/>
        <v>0.47951871184641248</v>
      </c>
      <c r="I15" s="25">
        <f t="shared" si="0"/>
        <v>1.8756082455985135</v>
      </c>
      <c r="J15" s="25">
        <f t="shared" si="0"/>
        <v>0.94488188976377951</v>
      </c>
      <c r="K15" s="25">
        <f t="shared" si="0"/>
        <v>60.230027426346986</v>
      </c>
    </row>
    <row r="16" spans="1:11" s="12" customFormat="1" ht="21.6" customHeight="1">
      <c r="A16" s="18" t="s">
        <v>42</v>
      </c>
      <c r="B16" s="26" t="s">
        <v>35</v>
      </c>
      <c r="C16" s="27">
        <v>565.20000000000005</v>
      </c>
      <c r="D16" s="28">
        <v>23.1</v>
      </c>
      <c r="E16" s="28">
        <v>4.4000000000000004</v>
      </c>
      <c r="F16" s="28">
        <v>10.8</v>
      </c>
      <c r="G16" s="28">
        <v>167.7</v>
      </c>
      <c r="H16" s="28">
        <v>2.7</v>
      </c>
      <c r="I16" s="28">
        <v>10.6</v>
      </c>
      <c r="J16" s="28">
        <v>5.4</v>
      </c>
      <c r="K16" s="28">
        <v>340.5</v>
      </c>
    </row>
    <row r="17" spans="1:11" s="12" customFormat="1" ht="21.6" customHeight="1" thickBot="1">
      <c r="A17" s="22"/>
      <c r="B17" s="23" t="s">
        <v>36</v>
      </c>
      <c r="C17" s="24">
        <v>100</v>
      </c>
      <c r="D17" s="25">
        <v>4.0999999999999996</v>
      </c>
      <c r="E17" s="25">
        <v>0.8</v>
      </c>
      <c r="F17" s="25">
        <v>1.9</v>
      </c>
      <c r="G17" s="25">
        <v>29.7</v>
      </c>
      <c r="H17" s="25">
        <v>0.5</v>
      </c>
      <c r="I17" s="25">
        <v>1.9</v>
      </c>
      <c r="J17" s="25">
        <v>1</v>
      </c>
      <c r="K17" s="25">
        <v>60.2</v>
      </c>
    </row>
    <row r="18" spans="1:11" s="12" customFormat="1" ht="21.6" customHeight="1">
      <c r="A18" s="18" t="s">
        <v>43</v>
      </c>
      <c r="B18" s="26" t="s">
        <v>35</v>
      </c>
      <c r="C18" s="27">
        <v>565.15</v>
      </c>
      <c r="D18" s="28">
        <v>22.92</v>
      </c>
      <c r="E18" s="28">
        <v>4.3</v>
      </c>
      <c r="F18" s="28">
        <v>10.83</v>
      </c>
      <c r="G18" s="28">
        <v>167.19</v>
      </c>
      <c r="H18" s="28">
        <v>2.68</v>
      </c>
      <c r="I18" s="28">
        <v>10.6</v>
      </c>
      <c r="J18" s="28">
        <v>5.88</v>
      </c>
      <c r="K18" s="28">
        <v>340.75</v>
      </c>
    </row>
    <row r="19" spans="1:11" s="12" customFormat="1" ht="21.6" customHeight="1" thickBot="1">
      <c r="A19" s="22"/>
      <c r="B19" s="23" t="s">
        <v>36</v>
      </c>
      <c r="C19" s="24">
        <v>100</v>
      </c>
      <c r="D19" s="25">
        <v>4.0999999999999996</v>
      </c>
      <c r="E19" s="25">
        <v>0.8</v>
      </c>
      <c r="F19" s="25">
        <v>1.9</v>
      </c>
      <c r="G19" s="25">
        <v>29.6</v>
      </c>
      <c r="H19" s="25">
        <v>0.5</v>
      </c>
      <c r="I19" s="25">
        <v>1.9</v>
      </c>
      <c r="J19" s="25">
        <v>1</v>
      </c>
      <c r="K19" s="25">
        <v>60.3</v>
      </c>
    </row>
    <row r="20" spans="1:11" s="12" customFormat="1" ht="21.6" customHeight="1">
      <c r="A20" s="18" t="s">
        <v>44</v>
      </c>
      <c r="B20" s="26" t="s">
        <v>35</v>
      </c>
      <c r="C20" s="27">
        <v>565.15</v>
      </c>
      <c r="D20" s="28">
        <v>22.86</v>
      </c>
      <c r="E20" s="28">
        <v>4.29</v>
      </c>
      <c r="F20" s="28">
        <v>10.86</v>
      </c>
      <c r="G20" s="28">
        <v>167.15</v>
      </c>
      <c r="H20" s="28">
        <v>2.67</v>
      </c>
      <c r="I20" s="28">
        <v>10.59</v>
      </c>
      <c r="J20" s="28">
        <v>5.92</v>
      </c>
      <c r="K20" s="28">
        <v>340.77</v>
      </c>
    </row>
    <row r="21" spans="1:11" s="12" customFormat="1" ht="21.6" customHeight="1" thickBot="1">
      <c r="A21" s="22"/>
      <c r="B21" s="23" t="s">
        <v>36</v>
      </c>
      <c r="C21" s="24">
        <v>100</v>
      </c>
      <c r="D21" s="25">
        <v>4.0999999999999996</v>
      </c>
      <c r="E21" s="25">
        <v>0.8</v>
      </c>
      <c r="F21" s="25">
        <v>1.9</v>
      </c>
      <c r="G21" s="25">
        <v>29.6</v>
      </c>
      <c r="H21" s="25">
        <v>0.5</v>
      </c>
      <c r="I21" s="25">
        <v>1.9</v>
      </c>
      <c r="J21" s="25">
        <v>1</v>
      </c>
      <c r="K21" s="25">
        <v>60.3</v>
      </c>
    </row>
    <row r="22" spans="1:11" s="12" customFormat="1" ht="21.9" customHeight="1">
      <c r="A22" s="18" t="s">
        <v>45</v>
      </c>
      <c r="B22" s="26" t="s">
        <v>35</v>
      </c>
      <c r="C22" s="27">
        <v>565.15</v>
      </c>
      <c r="D22" s="28">
        <v>22.84</v>
      </c>
      <c r="E22" s="28">
        <v>4.28</v>
      </c>
      <c r="F22" s="28">
        <v>10.98</v>
      </c>
      <c r="G22" s="28">
        <v>166.44</v>
      </c>
      <c r="H22" s="28">
        <v>2.67</v>
      </c>
      <c r="I22" s="28">
        <v>10.59</v>
      </c>
      <c r="J22" s="28">
        <v>5.93</v>
      </c>
      <c r="K22" s="28">
        <v>341.38</v>
      </c>
    </row>
    <row r="23" spans="1:11" s="12" customFormat="1" ht="21.9" customHeight="1" thickBot="1">
      <c r="A23" s="22"/>
      <c r="B23" s="23" t="s">
        <v>36</v>
      </c>
      <c r="C23" s="24">
        <v>100</v>
      </c>
      <c r="D23" s="25">
        <v>4.0999999999999996</v>
      </c>
      <c r="E23" s="25">
        <v>0.8</v>
      </c>
      <c r="F23" s="25">
        <v>1.9</v>
      </c>
      <c r="G23" s="25">
        <v>29.5</v>
      </c>
      <c r="H23" s="25">
        <v>0.5</v>
      </c>
      <c r="I23" s="25">
        <v>1.9</v>
      </c>
      <c r="J23" s="25">
        <v>1</v>
      </c>
      <c r="K23" s="25">
        <v>60.4</v>
      </c>
    </row>
    <row r="24" spans="1:11" s="12" customFormat="1" ht="21.9" customHeight="1">
      <c r="A24" s="18" t="s">
        <v>46</v>
      </c>
      <c r="B24" s="26" t="s">
        <v>35</v>
      </c>
      <c r="C24" s="27">
        <v>565.15</v>
      </c>
      <c r="D24" s="28">
        <v>22.8</v>
      </c>
      <c r="E24" s="28">
        <v>4.24</v>
      </c>
      <c r="F24" s="28">
        <v>11.01</v>
      </c>
      <c r="G24" s="28">
        <v>166.24</v>
      </c>
      <c r="H24" s="28">
        <v>2.67</v>
      </c>
      <c r="I24" s="28">
        <v>10.59</v>
      </c>
      <c r="J24" s="28">
        <v>6</v>
      </c>
      <c r="K24" s="28">
        <v>341.55</v>
      </c>
    </row>
    <row r="25" spans="1:11" s="12" customFormat="1" ht="21.9" customHeight="1" thickBot="1">
      <c r="A25" s="22"/>
      <c r="B25" s="23" t="s">
        <v>36</v>
      </c>
      <c r="C25" s="24">
        <v>100</v>
      </c>
      <c r="D25" s="25">
        <v>4.0999999999999996</v>
      </c>
      <c r="E25" s="25">
        <v>0.8</v>
      </c>
      <c r="F25" s="25">
        <v>1.9</v>
      </c>
      <c r="G25" s="25">
        <v>29.4</v>
      </c>
      <c r="H25" s="25">
        <v>0.5</v>
      </c>
      <c r="I25" s="25">
        <v>1.9</v>
      </c>
      <c r="J25" s="25">
        <v>1</v>
      </c>
      <c r="K25" s="25">
        <v>60.4</v>
      </c>
    </row>
    <row r="26" spans="1:11" s="12" customFormat="1" ht="18" customHeight="1">
      <c r="A26" s="29" t="s">
        <v>47</v>
      </c>
    </row>
  </sheetData>
  <mergeCells count="1">
    <mergeCell ref="J2:K2"/>
  </mergeCells>
  <phoneticPr fontId="4"/>
  <pageMargins left="0.7" right="0.7" top="0.75" bottom="0.75" header="0.3" footer="0.3"/>
  <pageSetup paperSize="9" scale="82" fitToHeight="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0997-0856-4C3E-90A0-84F7A1B86718}">
  <sheetPr codeName="Sheet53">
    <pageSetUpPr fitToPage="1"/>
  </sheetPr>
  <dimension ref="A1:K39"/>
  <sheetViews>
    <sheetView workbookViewId="0"/>
  </sheetViews>
  <sheetFormatPr defaultColWidth="9" defaultRowHeight="10.8"/>
  <cols>
    <col min="1" max="1" width="9" style="11" customWidth="1"/>
    <col min="2" max="11" width="8.09765625" style="11" customWidth="1"/>
    <col min="12" max="16384" width="9" style="11"/>
  </cols>
  <sheetData>
    <row r="1" spans="1:11" ht="30" customHeight="1" thickBot="1">
      <c r="A1" s="259" t="s">
        <v>1497</v>
      </c>
      <c r="K1" s="260" t="s">
        <v>308</v>
      </c>
    </row>
    <row r="2" spans="1:11" ht="23.25" customHeight="1">
      <c r="A2" s="2187" t="s">
        <v>1498</v>
      </c>
      <c r="B2" s="2186" t="s">
        <v>1472</v>
      </c>
      <c r="C2" s="2187"/>
      <c r="D2" s="2186" t="s">
        <v>1475</v>
      </c>
      <c r="E2" s="2187"/>
      <c r="F2" s="2183" t="s">
        <v>1478</v>
      </c>
      <c r="G2" s="2185"/>
      <c r="H2" s="2187" t="s">
        <v>1481</v>
      </c>
      <c r="I2" s="2187"/>
      <c r="J2" s="2183" t="s">
        <v>1484</v>
      </c>
      <c r="K2" s="2184"/>
    </row>
    <row r="3" spans="1:11" ht="23.25" customHeight="1">
      <c r="A3" s="2196"/>
      <c r="B3" s="130" t="s">
        <v>25</v>
      </c>
      <c r="C3" s="758" t="s">
        <v>1499</v>
      </c>
      <c r="D3" s="130" t="s">
        <v>25</v>
      </c>
      <c r="E3" s="758" t="s">
        <v>1499</v>
      </c>
      <c r="F3" s="130" t="s">
        <v>25</v>
      </c>
      <c r="G3" s="758" t="s">
        <v>1499</v>
      </c>
      <c r="H3" s="131" t="s">
        <v>25</v>
      </c>
      <c r="I3" s="130" t="s">
        <v>1500</v>
      </c>
      <c r="J3" s="130" t="s">
        <v>25</v>
      </c>
      <c r="K3" s="159" t="s">
        <v>1500</v>
      </c>
    </row>
    <row r="4" spans="1:11" ht="18" customHeight="1">
      <c r="A4" s="253"/>
      <c r="B4" s="759" t="s">
        <v>229</v>
      </c>
      <c r="C4" s="759" t="s">
        <v>229</v>
      </c>
      <c r="D4" s="759" t="s">
        <v>229</v>
      </c>
      <c r="E4" s="759" t="s">
        <v>229</v>
      </c>
      <c r="F4" s="759" t="s">
        <v>229</v>
      </c>
      <c r="G4" s="759" t="s">
        <v>229</v>
      </c>
      <c r="H4" s="760" t="s">
        <v>229</v>
      </c>
      <c r="I4" s="760" t="s">
        <v>229</v>
      </c>
      <c r="J4" s="759" t="s">
        <v>229</v>
      </c>
      <c r="K4" s="761" t="s">
        <v>229</v>
      </c>
    </row>
    <row r="5" spans="1:11" ht="18" customHeight="1">
      <c r="A5" s="253" t="s">
        <v>1501</v>
      </c>
      <c r="B5" s="762">
        <v>620</v>
      </c>
      <c r="C5" s="762">
        <v>123</v>
      </c>
      <c r="D5" s="762">
        <v>1546</v>
      </c>
      <c r="E5" s="762">
        <v>364</v>
      </c>
      <c r="F5" s="762">
        <v>1636</v>
      </c>
      <c r="G5" s="762">
        <v>222</v>
      </c>
      <c r="H5" s="763">
        <v>764</v>
      </c>
      <c r="I5" s="762">
        <v>105</v>
      </c>
      <c r="J5" s="764">
        <v>659</v>
      </c>
      <c r="K5" s="765">
        <v>117</v>
      </c>
    </row>
    <row r="6" spans="1:11" ht="18" customHeight="1">
      <c r="A6" s="253">
        <v>25</v>
      </c>
      <c r="B6" s="762">
        <v>611</v>
      </c>
      <c r="C6" s="762">
        <v>143</v>
      </c>
      <c r="D6" s="762">
        <v>1464</v>
      </c>
      <c r="E6" s="762">
        <v>432</v>
      </c>
      <c r="F6" s="762">
        <v>1745</v>
      </c>
      <c r="G6" s="762">
        <v>251</v>
      </c>
      <c r="H6" s="763">
        <v>687</v>
      </c>
      <c r="I6" s="762">
        <v>93</v>
      </c>
      <c r="J6" s="764">
        <v>666</v>
      </c>
      <c r="K6" s="765">
        <v>55</v>
      </c>
    </row>
    <row r="7" spans="1:11" ht="18" customHeight="1">
      <c r="A7" s="253">
        <v>26</v>
      </c>
      <c r="B7" s="762">
        <v>541</v>
      </c>
      <c r="C7" s="762">
        <v>151</v>
      </c>
      <c r="D7" s="762">
        <v>1572</v>
      </c>
      <c r="E7" s="762">
        <v>538</v>
      </c>
      <c r="F7" s="762">
        <v>1573</v>
      </c>
      <c r="G7" s="762">
        <v>302</v>
      </c>
      <c r="H7" s="763">
        <v>673</v>
      </c>
      <c r="I7" s="762">
        <v>112</v>
      </c>
      <c r="J7" s="764">
        <v>674</v>
      </c>
      <c r="K7" s="765">
        <v>130</v>
      </c>
    </row>
    <row r="8" spans="1:11" ht="18" customHeight="1">
      <c r="A8" s="253">
        <v>27</v>
      </c>
      <c r="B8" s="762">
        <v>520</v>
      </c>
      <c r="C8" s="762">
        <v>138</v>
      </c>
      <c r="D8" s="762">
        <v>1398</v>
      </c>
      <c r="E8" s="762">
        <v>348</v>
      </c>
      <c r="F8" s="762">
        <v>1526</v>
      </c>
      <c r="G8" s="762">
        <v>380</v>
      </c>
      <c r="H8" s="763">
        <v>573</v>
      </c>
      <c r="I8" s="762">
        <v>120</v>
      </c>
      <c r="J8" s="764">
        <v>598</v>
      </c>
      <c r="K8" s="765">
        <v>108</v>
      </c>
    </row>
    <row r="9" spans="1:11" ht="18" customHeight="1">
      <c r="A9" s="253">
        <v>28</v>
      </c>
      <c r="B9" s="762">
        <v>534</v>
      </c>
      <c r="C9" s="762">
        <v>124</v>
      </c>
      <c r="D9" s="762">
        <v>1303</v>
      </c>
      <c r="E9" s="762">
        <v>359</v>
      </c>
      <c r="F9" s="762">
        <v>1459</v>
      </c>
      <c r="G9" s="762">
        <v>384</v>
      </c>
      <c r="H9" s="763">
        <v>493</v>
      </c>
      <c r="I9" s="762">
        <v>83</v>
      </c>
      <c r="J9" s="764">
        <v>523</v>
      </c>
      <c r="K9" s="765">
        <v>166</v>
      </c>
    </row>
    <row r="10" spans="1:11" ht="18" customHeight="1">
      <c r="A10" s="253">
        <v>29</v>
      </c>
      <c r="B10" s="762">
        <v>469</v>
      </c>
      <c r="C10" s="762">
        <v>108</v>
      </c>
      <c r="D10" s="762">
        <v>1284</v>
      </c>
      <c r="E10" s="762">
        <v>396</v>
      </c>
      <c r="F10" s="762">
        <v>1560</v>
      </c>
      <c r="G10" s="762">
        <v>480</v>
      </c>
      <c r="H10" s="763">
        <v>378</v>
      </c>
      <c r="I10" s="762">
        <v>93</v>
      </c>
      <c r="J10" s="764">
        <v>572</v>
      </c>
      <c r="K10" s="765">
        <v>183</v>
      </c>
    </row>
    <row r="11" spans="1:11" ht="18" customHeight="1">
      <c r="A11" s="253">
        <v>30</v>
      </c>
      <c r="B11" s="764" t="s">
        <v>431</v>
      </c>
      <c r="C11" s="764" t="s">
        <v>431</v>
      </c>
      <c r="D11" s="762">
        <v>1542</v>
      </c>
      <c r="E11" s="762">
        <v>476</v>
      </c>
      <c r="F11" s="762">
        <v>1538</v>
      </c>
      <c r="G11" s="762">
        <v>417</v>
      </c>
      <c r="H11" s="763">
        <v>345</v>
      </c>
      <c r="I11" s="762">
        <v>78</v>
      </c>
      <c r="J11" s="764">
        <v>439</v>
      </c>
      <c r="K11" s="765">
        <v>127</v>
      </c>
    </row>
    <row r="12" spans="1:11" ht="18" customHeight="1">
      <c r="A12" s="253">
        <v>31</v>
      </c>
      <c r="B12" s="764" t="s">
        <v>431</v>
      </c>
      <c r="C12" s="764" t="s">
        <v>431</v>
      </c>
      <c r="D12" s="762">
        <v>1512</v>
      </c>
      <c r="E12" s="762">
        <v>435</v>
      </c>
      <c r="F12" s="762">
        <v>1644</v>
      </c>
      <c r="G12" s="762">
        <v>411</v>
      </c>
      <c r="H12" s="763">
        <v>244</v>
      </c>
      <c r="I12" s="762">
        <v>141</v>
      </c>
      <c r="J12" s="764">
        <v>452</v>
      </c>
      <c r="K12" s="765">
        <v>129</v>
      </c>
    </row>
    <row r="13" spans="1:11" ht="18" customHeight="1">
      <c r="A13" s="253" t="s">
        <v>1059</v>
      </c>
      <c r="B13" s="764" t="s">
        <v>431</v>
      </c>
      <c r="C13" s="764" t="s">
        <v>431</v>
      </c>
      <c r="D13" s="762">
        <v>1487</v>
      </c>
      <c r="E13" s="762">
        <v>478</v>
      </c>
      <c r="F13" s="762">
        <v>1657</v>
      </c>
      <c r="G13" s="762">
        <v>402</v>
      </c>
      <c r="H13" s="763">
        <v>303</v>
      </c>
      <c r="I13" s="762">
        <v>147</v>
      </c>
      <c r="J13" s="764">
        <v>415</v>
      </c>
      <c r="K13" s="765">
        <v>152</v>
      </c>
    </row>
    <row r="14" spans="1:11" ht="18" customHeight="1">
      <c r="A14" s="253">
        <v>3</v>
      </c>
      <c r="B14" s="764" t="s">
        <v>431</v>
      </c>
      <c r="C14" s="764" t="s">
        <v>431</v>
      </c>
      <c r="D14" s="762">
        <v>1399</v>
      </c>
      <c r="E14" s="762">
        <v>441</v>
      </c>
      <c r="F14" s="762">
        <v>1473</v>
      </c>
      <c r="G14" s="762">
        <v>394</v>
      </c>
      <c r="H14" s="763">
        <v>272</v>
      </c>
      <c r="I14" s="762">
        <v>131</v>
      </c>
      <c r="J14" s="764">
        <v>383</v>
      </c>
      <c r="K14" s="765">
        <v>147</v>
      </c>
    </row>
    <row r="15" spans="1:11" ht="18" customHeight="1">
      <c r="A15" s="253">
        <v>4</v>
      </c>
      <c r="B15" s="764" t="s">
        <v>431</v>
      </c>
      <c r="C15" s="764" t="s">
        <v>431</v>
      </c>
      <c r="D15" s="762">
        <v>1292</v>
      </c>
      <c r="E15" s="762">
        <v>507</v>
      </c>
      <c r="F15" s="762">
        <v>1353</v>
      </c>
      <c r="G15" s="762">
        <v>375</v>
      </c>
      <c r="H15" s="763">
        <v>261</v>
      </c>
      <c r="I15" s="762">
        <v>69</v>
      </c>
      <c r="J15" s="764">
        <v>352</v>
      </c>
      <c r="K15" s="765">
        <v>131</v>
      </c>
    </row>
    <row r="16" spans="1:11" ht="18" customHeight="1">
      <c r="A16" s="545">
        <v>5</v>
      </c>
      <c r="B16" s="764" t="s">
        <v>431</v>
      </c>
      <c r="C16" s="764" t="s">
        <v>431</v>
      </c>
      <c r="D16" s="762">
        <v>1348</v>
      </c>
      <c r="E16" s="762">
        <v>523</v>
      </c>
      <c r="F16" s="762">
        <v>1351</v>
      </c>
      <c r="G16" s="762">
        <v>371</v>
      </c>
      <c r="H16" s="763">
        <v>364</v>
      </c>
      <c r="I16" s="762">
        <v>117</v>
      </c>
      <c r="J16" s="764">
        <v>325</v>
      </c>
      <c r="K16" s="765">
        <v>66</v>
      </c>
    </row>
    <row r="17" spans="1:11" ht="18" customHeight="1" thickBot="1">
      <c r="A17" s="92"/>
      <c r="B17" s="766"/>
      <c r="C17" s="766"/>
      <c r="D17" s="767"/>
      <c r="E17" s="767"/>
      <c r="F17" s="767"/>
      <c r="G17" s="767"/>
      <c r="H17" s="768"/>
      <c r="I17" s="767"/>
      <c r="J17" s="766"/>
      <c r="K17" s="769"/>
    </row>
    <row r="18" spans="1:11" ht="12" customHeight="1" thickBot="1">
      <c r="A18" s="271"/>
      <c r="B18" s="770"/>
      <c r="C18" s="770"/>
      <c r="D18" s="770"/>
      <c r="E18" s="770"/>
      <c r="F18" s="770"/>
      <c r="G18" s="770"/>
      <c r="H18" s="770"/>
      <c r="I18" s="770"/>
      <c r="J18" s="771"/>
      <c r="K18" s="771"/>
    </row>
    <row r="19" spans="1:11" ht="23.25" customHeight="1">
      <c r="A19" s="2187" t="s">
        <v>1498</v>
      </c>
      <c r="B19" s="2183" t="s">
        <v>1493</v>
      </c>
      <c r="C19" s="2185"/>
      <c r="D19" s="2183" t="s">
        <v>1487</v>
      </c>
      <c r="E19" s="2184"/>
      <c r="F19" s="2572" t="s">
        <v>1490</v>
      </c>
      <c r="G19" s="2183"/>
    </row>
    <row r="20" spans="1:11" ht="23.25" customHeight="1">
      <c r="A20" s="2196"/>
      <c r="B20" s="130" t="s">
        <v>25</v>
      </c>
      <c r="C20" s="130" t="s">
        <v>1500</v>
      </c>
      <c r="D20" s="130" t="s">
        <v>25</v>
      </c>
      <c r="E20" s="159" t="s">
        <v>1500</v>
      </c>
      <c r="F20" s="130" t="s">
        <v>25</v>
      </c>
      <c r="G20" s="772" t="s">
        <v>1499</v>
      </c>
    </row>
    <row r="21" spans="1:11" ht="18" customHeight="1">
      <c r="A21" s="243"/>
      <c r="B21" s="759" t="s">
        <v>229</v>
      </c>
      <c r="C21" s="760" t="s">
        <v>229</v>
      </c>
      <c r="D21" s="760" t="s">
        <v>229</v>
      </c>
      <c r="E21" s="759" t="s">
        <v>229</v>
      </c>
      <c r="F21" s="759" t="s">
        <v>229</v>
      </c>
      <c r="G21" s="765" t="s">
        <v>229</v>
      </c>
    </row>
    <row r="22" spans="1:11" ht="18" customHeight="1">
      <c r="A22" s="253" t="s">
        <v>1501</v>
      </c>
      <c r="B22" s="764">
        <v>999</v>
      </c>
      <c r="C22" s="764">
        <v>179</v>
      </c>
      <c r="D22" s="762">
        <v>102</v>
      </c>
      <c r="E22" s="773">
        <v>21</v>
      </c>
      <c r="F22" s="762">
        <v>144</v>
      </c>
      <c r="G22" s="773">
        <v>24</v>
      </c>
    </row>
    <row r="23" spans="1:11" ht="18" customHeight="1">
      <c r="A23" s="253">
        <v>25</v>
      </c>
      <c r="B23" s="764">
        <v>924</v>
      </c>
      <c r="C23" s="764">
        <v>190</v>
      </c>
      <c r="D23" s="762">
        <v>158</v>
      </c>
      <c r="E23" s="773">
        <v>12</v>
      </c>
      <c r="F23" s="762">
        <v>211</v>
      </c>
      <c r="G23" s="773">
        <v>38</v>
      </c>
    </row>
    <row r="24" spans="1:11" ht="18" customHeight="1">
      <c r="A24" s="253">
        <v>26</v>
      </c>
      <c r="B24" s="764">
        <v>950</v>
      </c>
      <c r="C24" s="764">
        <v>210</v>
      </c>
      <c r="D24" s="762">
        <v>118</v>
      </c>
      <c r="E24" s="773">
        <v>34</v>
      </c>
      <c r="F24" s="762">
        <v>150</v>
      </c>
      <c r="G24" s="773">
        <v>54</v>
      </c>
    </row>
    <row r="25" spans="1:11" ht="18" customHeight="1">
      <c r="A25" s="253">
        <v>27</v>
      </c>
      <c r="B25" s="764">
        <v>783</v>
      </c>
      <c r="C25" s="764">
        <v>170</v>
      </c>
      <c r="D25" s="762">
        <v>138</v>
      </c>
      <c r="E25" s="773">
        <v>58</v>
      </c>
      <c r="F25" s="762">
        <v>212</v>
      </c>
      <c r="G25" s="773">
        <v>73</v>
      </c>
    </row>
    <row r="26" spans="1:11" ht="18" customHeight="1">
      <c r="A26" s="253">
        <v>28</v>
      </c>
      <c r="B26" s="764">
        <v>726</v>
      </c>
      <c r="C26" s="764">
        <v>145</v>
      </c>
      <c r="D26" s="762">
        <v>165</v>
      </c>
      <c r="E26" s="773">
        <v>69</v>
      </c>
      <c r="F26" s="762">
        <v>133</v>
      </c>
      <c r="G26" s="773">
        <v>59</v>
      </c>
    </row>
    <row r="27" spans="1:11" ht="18" customHeight="1">
      <c r="A27" s="253">
        <v>29</v>
      </c>
      <c r="B27" s="764">
        <v>750</v>
      </c>
      <c r="C27" s="764">
        <v>246</v>
      </c>
      <c r="D27" s="762">
        <v>220</v>
      </c>
      <c r="E27" s="773">
        <v>81</v>
      </c>
      <c r="F27" s="762">
        <v>193</v>
      </c>
      <c r="G27" s="773">
        <v>37</v>
      </c>
    </row>
    <row r="28" spans="1:11" ht="18" customHeight="1">
      <c r="A28" s="253">
        <v>30</v>
      </c>
      <c r="B28" s="764">
        <v>855</v>
      </c>
      <c r="C28" s="764">
        <v>303</v>
      </c>
      <c r="D28" s="762">
        <v>307</v>
      </c>
      <c r="E28" s="773">
        <v>85</v>
      </c>
      <c r="F28" s="762">
        <v>195</v>
      </c>
      <c r="G28" s="773">
        <v>51</v>
      </c>
    </row>
    <row r="29" spans="1:11" ht="18" customHeight="1">
      <c r="A29" s="253">
        <v>31</v>
      </c>
      <c r="B29" s="764">
        <v>912</v>
      </c>
      <c r="C29" s="764">
        <v>338</v>
      </c>
      <c r="D29" s="762">
        <v>221</v>
      </c>
      <c r="E29" s="773">
        <v>66</v>
      </c>
      <c r="F29" s="762">
        <v>173</v>
      </c>
      <c r="G29" s="773">
        <v>40</v>
      </c>
    </row>
    <row r="30" spans="1:11" ht="18" customHeight="1">
      <c r="A30" s="253" t="s">
        <v>1502</v>
      </c>
      <c r="B30" s="764">
        <v>822</v>
      </c>
      <c r="C30" s="764">
        <v>286</v>
      </c>
      <c r="D30" s="762">
        <v>186</v>
      </c>
      <c r="E30" s="773">
        <v>12</v>
      </c>
      <c r="F30" s="762">
        <v>108</v>
      </c>
      <c r="G30" s="773">
        <v>0</v>
      </c>
    </row>
    <row r="31" spans="1:11" ht="18" customHeight="1">
      <c r="A31" s="253">
        <v>3</v>
      </c>
      <c r="B31" s="764">
        <v>789</v>
      </c>
      <c r="C31" s="764">
        <v>258</v>
      </c>
      <c r="D31" s="762">
        <v>198</v>
      </c>
      <c r="E31" s="773">
        <v>66</v>
      </c>
      <c r="F31" s="762">
        <v>97</v>
      </c>
      <c r="G31" s="773">
        <v>12</v>
      </c>
    </row>
    <row r="32" spans="1:11" ht="18" customHeight="1">
      <c r="A32" s="253">
        <v>4</v>
      </c>
      <c r="B32" s="764">
        <v>772</v>
      </c>
      <c r="C32" s="764">
        <v>296</v>
      </c>
      <c r="D32" s="762">
        <v>204</v>
      </c>
      <c r="E32" s="773">
        <v>12</v>
      </c>
      <c r="F32" s="762">
        <v>39</v>
      </c>
      <c r="G32" s="773">
        <v>0</v>
      </c>
    </row>
    <row r="33" spans="1:7" ht="18" customHeight="1">
      <c r="A33" s="545">
        <v>5</v>
      </c>
      <c r="B33" s="764">
        <v>787</v>
      </c>
      <c r="C33" s="764">
        <v>288</v>
      </c>
      <c r="D33" s="762">
        <v>180</v>
      </c>
      <c r="E33" s="773">
        <v>24</v>
      </c>
      <c r="F33" s="762">
        <v>0</v>
      </c>
      <c r="G33" s="773">
        <v>0</v>
      </c>
    </row>
    <row r="34" spans="1:7" ht="18" customHeight="1" thickBot="1">
      <c r="A34" s="92"/>
      <c r="B34" s="766"/>
      <c r="C34" s="766"/>
      <c r="D34" s="767"/>
      <c r="E34" s="774"/>
      <c r="F34" s="767"/>
      <c r="G34" s="774"/>
    </row>
    <row r="35" spans="1:7" ht="16.8" customHeight="1">
      <c r="A35" s="11" t="s">
        <v>1496</v>
      </c>
      <c r="C35" s="11" t="s">
        <v>1503</v>
      </c>
    </row>
    <row r="36" spans="1:7" ht="16.8" customHeight="1">
      <c r="C36" s="11" t="s">
        <v>1504</v>
      </c>
    </row>
    <row r="37" spans="1:7" ht="16.8" customHeight="1">
      <c r="C37" s="11" t="s">
        <v>1505</v>
      </c>
    </row>
    <row r="38" spans="1:7" ht="16.8" customHeight="1">
      <c r="C38" s="11" t="s">
        <v>1506</v>
      </c>
    </row>
    <row r="39" spans="1:7">
      <c r="C39" s="602"/>
    </row>
  </sheetData>
  <mergeCells count="10">
    <mergeCell ref="H2:I2"/>
    <mergeCell ref="J2:K2"/>
    <mergeCell ref="A19:A20"/>
    <mergeCell ref="B19:C19"/>
    <mergeCell ref="D19:E19"/>
    <mergeCell ref="F19:G19"/>
    <mergeCell ref="A2:A3"/>
    <mergeCell ref="B2:C2"/>
    <mergeCell ref="D2:E2"/>
    <mergeCell ref="F2:G2"/>
  </mergeCells>
  <phoneticPr fontId="4"/>
  <printOptions horizontalCentered="1"/>
  <pageMargins left="0.98425196850393704" right="0.98425196850393704" top="0.98425196850393704" bottom="0.98425196850393704" header="0.51181102362204722" footer="0.51181102362204722"/>
  <pageSetup paperSize="9" scale="82"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122D7-D1CF-41BF-BD94-8FEAB29585F4}">
  <sheetPr codeName="Sheet119"/>
  <dimension ref="A1:K9"/>
  <sheetViews>
    <sheetView zoomScaleNormal="100" workbookViewId="0">
      <selection activeCell="H9" sqref="H9"/>
    </sheetView>
  </sheetViews>
  <sheetFormatPr defaultColWidth="8.5" defaultRowHeight="10.8"/>
  <cols>
    <col min="1" max="1" width="13.69921875" style="1236" customWidth="1"/>
    <col min="2" max="8" width="10" style="1236" customWidth="1"/>
    <col min="9" max="256" width="8.5" style="1236"/>
    <col min="257" max="257" width="7.5" style="1236" customWidth="1"/>
    <col min="258" max="264" width="10" style="1236" customWidth="1"/>
    <col min="265" max="512" width="8.5" style="1236"/>
    <col min="513" max="513" width="7.5" style="1236" customWidth="1"/>
    <col min="514" max="520" width="10" style="1236" customWidth="1"/>
    <col min="521" max="768" width="8.5" style="1236"/>
    <col min="769" max="769" width="7.5" style="1236" customWidth="1"/>
    <col min="770" max="776" width="10" style="1236" customWidth="1"/>
    <col min="777" max="1024" width="8.5" style="1236"/>
    <col min="1025" max="1025" width="7.5" style="1236" customWidth="1"/>
    <col min="1026" max="1032" width="10" style="1236" customWidth="1"/>
    <col min="1033" max="1280" width="8.5" style="1236"/>
    <col min="1281" max="1281" width="7.5" style="1236" customWidth="1"/>
    <col min="1282" max="1288" width="10" style="1236" customWidth="1"/>
    <col min="1289" max="1536" width="8.5" style="1236"/>
    <col min="1537" max="1537" width="7.5" style="1236" customWidth="1"/>
    <col min="1538" max="1544" width="10" style="1236" customWidth="1"/>
    <col min="1545" max="1792" width="8.5" style="1236"/>
    <col min="1793" max="1793" width="7.5" style="1236" customWidth="1"/>
    <col min="1794" max="1800" width="10" style="1236" customWidth="1"/>
    <col min="1801" max="2048" width="8.5" style="1236"/>
    <col min="2049" max="2049" width="7.5" style="1236" customWidth="1"/>
    <col min="2050" max="2056" width="10" style="1236" customWidth="1"/>
    <col min="2057" max="2304" width="8.5" style="1236"/>
    <col min="2305" max="2305" width="7.5" style="1236" customWidth="1"/>
    <col min="2306" max="2312" width="10" style="1236" customWidth="1"/>
    <col min="2313" max="2560" width="8.5" style="1236"/>
    <col min="2561" max="2561" width="7.5" style="1236" customWidth="1"/>
    <col min="2562" max="2568" width="10" style="1236" customWidth="1"/>
    <col min="2569" max="2816" width="8.5" style="1236"/>
    <col min="2817" max="2817" width="7.5" style="1236" customWidth="1"/>
    <col min="2818" max="2824" width="10" style="1236" customWidth="1"/>
    <col min="2825" max="3072" width="8.5" style="1236"/>
    <col min="3073" max="3073" width="7.5" style="1236" customWidth="1"/>
    <col min="3074" max="3080" width="10" style="1236" customWidth="1"/>
    <col min="3081" max="3328" width="8.5" style="1236"/>
    <col min="3329" max="3329" width="7.5" style="1236" customWidth="1"/>
    <col min="3330" max="3336" width="10" style="1236" customWidth="1"/>
    <col min="3337" max="3584" width="8.5" style="1236"/>
    <col min="3585" max="3585" width="7.5" style="1236" customWidth="1"/>
    <col min="3586" max="3592" width="10" style="1236" customWidth="1"/>
    <col min="3593" max="3840" width="8.5" style="1236"/>
    <col min="3841" max="3841" width="7.5" style="1236" customWidth="1"/>
    <col min="3842" max="3848" width="10" style="1236" customWidth="1"/>
    <col min="3849" max="4096" width="8.5" style="1236"/>
    <col min="4097" max="4097" width="7.5" style="1236" customWidth="1"/>
    <col min="4098" max="4104" width="10" style="1236" customWidth="1"/>
    <col min="4105" max="4352" width="8.5" style="1236"/>
    <col min="4353" max="4353" width="7.5" style="1236" customWidth="1"/>
    <col min="4354" max="4360" width="10" style="1236" customWidth="1"/>
    <col min="4361" max="4608" width="8.5" style="1236"/>
    <col min="4609" max="4609" width="7.5" style="1236" customWidth="1"/>
    <col min="4610" max="4616" width="10" style="1236" customWidth="1"/>
    <col min="4617" max="4864" width="8.5" style="1236"/>
    <col min="4865" max="4865" width="7.5" style="1236" customWidth="1"/>
    <col min="4866" max="4872" width="10" style="1236" customWidth="1"/>
    <col min="4873" max="5120" width="8.5" style="1236"/>
    <col min="5121" max="5121" width="7.5" style="1236" customWidth="1"/>
    <col min="5122" max="5128" width="10" style="1236" customWidth="1"/>
    <col min="5129" max="5376" width="8.5" style="1236"/>
    <col min="5377" max="5377" width="7.5" style="1236" customWidth="1"/>
    <col min="5378" max="5384" width="10" style="1236" customWidth="1"/>
    <col min="5385" max="5632" width="8.5" style="1236"/>
    <col min="5633" max="5633" width="7.5" style="1236" customWidth="1"/>
    <col min="5634" max="5640" width="10" style="1236" customWidth="1"/>
    <col min="5641" max="5888" width="8.5" style="1236"/>
    <col min="5889" max="5889" width="7.5" style="1236" customWidth="1"/>
    <col min="5890" max="5896" width="10" style="1236" customWidth="1"/>
    <col min="5897" max="6144" width="8.5" style="1236"/>
    <col min="6145" max="6145" width="7.5" style="1236" customWidth="1"/>
    <col min="6146" max="6152" width="10" style="1236" customWidth="1"/>
    <col min="6153" max="6400" width="8.5" style="1236"/>
    <col min="6401" max="6401" width="7.5" style="1236" customWidth="1"/>
    <col min="6402" max="6408" width="10" style="1236" customWidth="1"/>
    <col min="6409" max="6656" width="8.5" style="1236"/>
    <col min="6657" max="6657" width="7.5" style="1236" customWidth="1"/>
    <col min="6658" max="6664" width="10" style="1236" customWidth="1"/>
    <col min="6665" max="6912" width="8.5" style="1236"/>
    <col min="6913" max="6913" width="7.5" style="1236" customWidth="1"/>
    <col min="6914" max="6920" width="10" style="1236" customWidth="1"/>
    <col min="6921" max="7168" width="8.5" style="1236"/>
    <col min="7169" max="7169" width="7.5" style="1236" customWidth="1"/>
    <col min="7170" max="7176" width="10" style="1236" customWidth="1"/>
    <col min="7177" max="7424" width="8.5" style="1236"/>
    <col min="7425" max="7425" width="7.5" style="1236" customWidth="1"/>
    <col min="7426" max="7432" width="10" style="1236" customWidth="1"/>
    <col min="7433" max="7680" width="8.5" style="1236"/>
    <col min="7681" max="7681" width="7.5" style="1236" customWidth="1"/>
    <col min="7682" max="7688" width="10" style="1236" customWidth="1"/>
    <col min="7689" max="7936" width="8.5" style="1236"/>
    <col min="7937" max="7937" width="7.5" style="1236" customWidth="1"/>
    <col min="7938" max="7944" width="10" style="1236" customWidth="1"/>
    <col min="7945" max="8192" width="8.5" style="1236"/>
    <col min="8193" max="8193" width="7.5" style="1236" customWidth="1"/>
    <col min="8194" max="8200" width="10" style="1236" customWidth="1"/>
    <col min="8201" max="8448" width="8.5" style="1236"/>
    <col min="8449" max="8449" width="7.5" style="1236" customWidth="1"/>
    <col min="8450" max="8456" width="10" style="1236" customWidth="1"/>
    <col min="8457" max="8704" width="8.5" style="1236"/>
    <col min="8705" max="8705" width="7.5" style="1236" customWidth="1"/>
    <col min="8706" max="8712" width="10" style="1236" customWidth="1"/>
    <col min="8713" max="8960" width="8.5" style="1236"/>
    <col min="8961" max="8961" width="7.5" style="1236" customWidth="1"/>
    <col min="8962" max="8968" width="10" style="1236" customWidth="1"/>
    <col min="8969" max="9216" width="8.5" style="1236"/>
    <col min="9217" max="9217" width="7.5" style="1236" customWidth="1"/>
    <col min="9218" max="9224" width="10" style="1236" customWidth="1"/>
    <col min="9225" max="9472" width="8.5" style="1236"/>
    <col min="9473" max="9473" width="7.5" style="1236" customWidth="1"/>
    <col min="9474" max="9480" width="10" style="1236" customWidth="1"/>
    <col min="9481" max="9728" width="8.5" style="1236"/>
    <col min="9729" max="9729" width="7.5" style="1236" customWidth="1"/>
    <col min="9730" max="9736" width="10" style="1236" customWidth="1"/>
    <col min="9737" max="9984" width="8.5" style="1236"/>
    <col min="9985" max="9985" width="7.5" style="1236" customWidth="1"/>
    <col min="9986" max="9992" width="10" style="1236" customWidth="1"/>
    <col min="9993" max="10240" width="8.5" style="1236"/>
    <col min="10241" max="10241" width="7.5" style="1236" customWidth="1"/>
    <col min="10242" max="10248" width="10" style="1236" customWidth="1"/>
    <col min="10249" max="10496" width="8.5" style="1236"/>
    <col min="10497" max="10497" width="7.5" style="1236" customWidth="1"/>
    <col min="10498" max="10504" width="10" style="1236" customWidth="1"/>
    <col min="10505" max="10752" width="8.5" style="1236"/>
    <col min="10753" max="10753" width="7.5" style="1236" customWidth="1"/>
    <col min="10754" max="10760" width="10" style="1236" customWidth="1"/>
    <col min="10761" max="11008" width="8.5" style="1236"/>
    <col min="11009" max="11009" width="7.5" style="1236" customWidth="1"/>
    <col min="11010" max="11016" width="10" style="1236" customWidth="1"/>
    <col min="11017" max="11264" width="8.5" style="1236"/>
    <col min="11265" max="11265" width="7.5" style="1236" customWidth="1"/>
    <col min="11266" max="11272" width="10" style="1236" customWidth="1"/>
    <col min="11273" max="11520" width="8.5" style="1236"/>
    <col min="11521" max="11521" width="7.5" style="1236" customWidth="1"/>
    <col min="11522" max="11528" width="10" style="1236" customWidth="1"/>
    <col min="11529" max="11776" width="8.5" style="1236"/>
    <col min="11777" max="11777" width="7.5" style="1236" customWidth="1"/>
    <col min="11778" max="11784" width="10" style="1236" customWidth="1"/>
    <col min="11785" max="12032" width="8.5" style="1236"/>
    <col min="12033" max="12033" width="7.5" style="1236" customWidth="1"/>
    <col min="12034" max="12040" width="10" style="1236" customWidth="1"/>
    <col min="12041" max="12288" width="8.5" style="1236"/>
    <col min="12289" max="12289" width="7.5" style="1236" customWidth="1"/>
    <col min="12290" max="12296" width="10" style="1236" customWidth="1"/>
    <col min="12297" max="12544" width="8.5" style="1236"/>
    <col min="12545" max="12545" width="7.5" style="1236" customWidth="1"/>
    <col min="12546" max="12552" width="10" style="1236" customWidth="1"/>
    <col min="12553" max="12800" width="8.5" style="1236"/>
    <col min="12801" max="12801" width="7.5" style="1236" customWidth="1"/>
    <col min="12802" max="12808" width="10" style="1236" customWidth="1"/>
    <col min="12809" max="13056" width="8.5" style="1236"/>
    <col min="13057" max="13057" width="7.5" style="1236" customWidth="1"/>
    <col min="13058" max="13064" width="10" style="1236" customWidth="1"/>
    <col min="13065" max="13312" width="8.5" style="1236"/>
    <col min="13313" max="13313" width="7.5" style="1236" customWidth="1"/>
    <col min="13314" max="13320" width="10" style="1236" customWidth="1"/>
    <col min="13321" max="13568" width="8.5" style="1236"/>
    <col min="13569" max="13569" width="7.5" style="1236" customWidth="1"/>
    <col min="13570" max="13576" width="10" style="1236" customWidth="1"/>
    <col min="13577" max="13824" width="8.5" style="1236"/>
    <col min="13825" max="13825" width="7.5" style="1236" customWidth="1"/>
    <col min="13826" max="13832" width="10" style="1236" customWidth="1"/>
    <col min="13833" max="14080" width="8.5" style="1236"/>
    <col min="14081" max="14081" width="7.5" style="1236" customWidth="1"/>
    <col min="14082" max="14088" width="10" style="1236" customWidth="1"/>
    <col min="14089" max="14336" width="8.5" style="1236"/>
    <col min="14337" max="14337" width="7.5" style="1236" customWidth="1"/>
    <col min="14338" max="14344" width="10" style="1236" customWidth="1"/>
    <col min="14345" max="14592" width="8.5" style="1236"/>
    <col min="14593" max="14593" width="7.5" style="1236" customWidth="1"/>
    <col min="14594" max="14600" width="10" style="1236" customWidth="1"/>
    <col min="14601" max="14848" width="8.5" style="1236"/>
    <col min="14849" max="14849" width="7.5" style="1236" customWidth="1"/>
    <col min="14850" max="14856" width="10" style="1236" customWidth="1"/>
    <col min="14857" max="15104" width="8.5" style="1236"/>
    <col min="15105" max="15105" width="7.5" style="1236" customWidth="1"/>
    <col min="15106" max="15112" width="10" style="1236" customWidth="1"/>
    <col min="15113" max="15360" width="8.5" style="1236"/>
    <col min="15361" max="15361" width="7.5" style="1236" customWidth="1"/>
    <col min="15362" max="15368" width="10" style="1236" customWidth="1"/>
    <col min="15369" max="15616" width="8.5" style="1236"/>
    <col min="15617" max="15617" width="7.5" style="1236" customWidth="1"/>
    <col min="15618" max="15624" width="10" style="1236" customWidth="1"/>
    <col min="15625" max="15872" width="8.5" style="1236"/>
    <col min="15873" max="15873" width="7.5" style="1236" customWidth="1"/>
    <col min="15874" max="15880" width="10" style="1236" customWidth="1"/>
    <col min="15881" max="16128" width="8.5" style="1236"/>
    <col min="16129" max="16129" width="7.5" style="1236" customWidth="1"/>
    <col min="16130" max="16136" width="10" style="1236" customWidth="1"/>
    <col min="16137" max="16384" width="8.5" style="1236"/>
  </cols>
  <sheetData>
    <row r="1" spans="1:11" ht="30" customHeight="1" thickBot="1">
      <c r="A1" s="1481" t="s">
        <v>3596</v>
      </c>
      <c r="H1" s="1944" t="s">
        <v>3597</v>
      </c>
    </row>
    <row r="2" spans="1:11" ht="32.4">
      <c r="A2" s="1942" t="s">
        <v>1498</v>
      </c>
      <c r="B2" s="1945" t="s">
        <v>3598</v>
      </c>
      <c r="C2" s="1945" t="s">
        <v>3599</v>
      </c>
      <c r="D2" s="1945" t="s">
        <v>3600</v>
      </c>
      <c r="E2" s="1945" t="s">
        <v>3601</v>
      </c>
      <c r="F2" s="1945" t="s">
        <v>3602</v>
      </c>
      <c r="G2" s="1945" t="s">
        <v>3603</v>
      </c>
      <c r="H2" s="1946" t="s">
        <v>3604</v>
      </c>
    </row>
    <row r="3" spans="1:11">
      <c r="A3" s="1859"/>
      <c r="B3" s="1652" t="s">
        <v>230</v>
      </c>
      <c r="C3" s="1652" t="s">
        <v>230</v>
      </c>
      <c r="D3" s="1652" t="s">
        <v>230</v>
      </c>
      <c r="E3" s="1652" t="s">
        <v>230</v>
      </c>
      <c r="F3" s="1652" t="s">
        <v>230</v>
      </c>
      <c r="G3" s="1652" t="s">
        <v>230</v>
      </c>
      <c r="H3" s="1653" t="s">
        <v>230</v>
      </c>
      <c r="I3" s="1948"/>
      <c r="J3" s="1948"/>
      <c r="K3" s="1948"/>
    </row>
    <row r="4" spans="1:11" ht="19.8" customHeight="1">
      <c r="A4" s="1485" t="s">
        <v>1638</v>
      </c>
      <c r="B4" s="1963">
        <v>1492</v>
      </c>
      <c r="C4" s="1963">
        <v>11401</v>
      </c>
      <c r="D4" s="1963">
        <v>3113</v>
      </c>
      <c r="E4" s="1963">
        <v>11037</v>
      </c>
      <c r="F4" s="1963">
        <v>8560</v>
      </c>
      <c r="G4" s="1963">
        <v>127</v>
      </c>
      <c r="H4" s="1964">
        <v>1950</v>
      </c>
    </row>
    <row r="5" spans="1:11" ht="19.8" customHeight="1">
      <c r="A5" s="1485">
        <v>2</v>
      </c>
      <c r="B5" s="1963">
        <v>1380</v>
      </c>
      <c r="C5" s="1963">
        <v>10914</v>
      </c>
      <c r="D5" s="1963">
        <v>2824</v>
      </c>
      <c r="E5" s="1963">
        <v>10441</v>
      </c>
      <c r="F5" s="1963">
        <v>8014</v>
      </c>
      <c r="G5" s="1963">
        <v>117</v>
      </c>
      <c r="H5" s="1964">
        <v>2142</v>
      </c>
    </row>
    <row r="6" spans="1:11" ht="19.8" customHeight="1">
      <c r="A6" s="1485">
        <v>3</v>
      </c>
      <c r="B6" s="1963">
        <v>1311</v>
      </c>
      <c r="C6" s="1963">
        <v>10112</v>
      </c>
      <c r="D6" s="1963">
        <v>2987</v>
      </c>
      <c r="E6" s="1963">
        <v>10563</v>
      </c>
      <c r="F6" s="1963">
        <v>7491</v>
      </c>
      <c r="G6" s="1963" t="s">
        <v>3720</v>
      </c>
      <c r="H6" s="1964" t="s">
        <v>3720</v>
      </c>
    </row>
    <row r="7" spans="1:11" ht="19.8" customHeight="1">
      <c r="A7" s="1485">
        <v>4</v>
      </c>
      <c r="B7" s="1963">
        <v>1381</v>
      </c>
      <c r="C7" s="1963">
        <v>11379</v>
      </c>
      <c r="D7" s="1963">
        <v>3178</v>
      </c>
      <c r="E7" s="1963">
        <v>10449</v>
      </c>
      <c r="F7" s="1963">
        <v>6307</v>
      </c>
      <c r="G7" s="1963" t="s">
        <v>3720</v>
      </c>
      <c r="H7" s="1964" t="s">
        <v>3720</v>
      </c>
    </row>
    <row r="8" spans="1:11" ht="19.8" customHeight="1" thickBot="1">
      <c r="A8" s="1504">
        <v>5</v>
      </c>
      <c r="B8" s="1965">
        <v>1326</v>
      </c>
      <c r="C8" s="1965">
        <v>11028</v>
      </c>
      <c r="D8" s="1965">
        <v>2948</v>
      </c>
      <c r="E8" s="1965">
        <v>7653</v>
      </c>
      <c r="F8" s="1965">
        <v>4797</v>
      </c>
      <c r="G8" s="1966" t="s">
        <v>3720</v>
      </c>
      <c r="H8" s="1967" t="s">
        <v>3720</v>
      </c>
    </row>
    <row r="9" spans="1:11" ht="16.8" customHeight="1">
      <c r="A9" s="1236" t="s">
        <v>3605</v>
      </c>
    </row>
  </sheetData>
  <phoneticPr fontId="4"/>
  <pageMargins left="0.7" right="0.7" top="0.75" bottom="0.75" header="0.3" footer="0.3"/>
  <pageSetup paperSize="9" scale="96"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1E19-3FF1-4EC2-9859-3C60C01906FB}">
  <sheetPr codeName="Sheet54">
    <pageSetUpPr fitToPage="1"/>
  </sheetPr>
  <dimension ref="A1:J63"/>
  <sheetViews>
    <sheetView workbookViewId="0"/>
  </sheetViews>
  <sheetFormatPr defaultColWidth="9" defaultRowHeight="18"/>
  <cols>
    <col min="1" max="8" width="11.09765625" style="779" customWidth="1"/>
    <col min="9" max="9" width="9" style="779"/>
    <col min="10" max="10" width="11.3984375" style="780" bestFit="1" customWidth="1"/>
    <col min="11" max="16384" width="9" style="779"/>
  </cols>
  <sheetData>
    <row r="1" spans="1:8" ht="30" customHeight="1">
      <c r="A1" s="778" t="s">
        <v>1507</v>
      </c>
    </row>
    <row r="2" spans="1:8" ht="14.25" customHeight="1">
      <c r="A2" s="2613" t="s">
        <v>1498</v>
      </c>
      <c r="B2" s="2615" t="s">
        <v>1508</v>
      </c>
      <c r="C2" s="2615"/>
      <c r="D2" s="2615" t="s">
        <v>1509</v>
      </c>
      <c r="E2" s="2615"/>
      <c r="F2" s="2615"/>
      <c r="G2" s="2615" t="s">
        <v>1510</v>
      </c>
      <c r="H2" s="2615"/>
    </row>
    <row r="3" spans="1:8" ht="14.25" customHeight="1">
      <c r="A3" s="2614"/>
      <c r="B3" s="781" t="s">
        <v>184</v>
      </c>
      <c r="C3" s="781" t="s">
        <v>1511</v>
      </c>
      <c r="D3" s="781" t="s">
        <v>1512</v>
      </c>
      <c r="E3" s="781" t="s">
        <v>1513</v>
      </c>
      <c r="F3" s="781" t="s">
        <v>1514</v>
      </c>
      <c r="G3" s="781" t="s">
        <v>1515</v>
      </c>
      <c r="H3" s="781" t="s">
        <v>1516</v>
      </c>
    </row>
    <row r="4" spans="1:8" ht="14.25" customHeight="1">
      <c r="A4" s="782"/>
      <c r="B4" s="783" t="s">
        <v>166</v>
      </c>
      <c r="C4" s="783" t="s">
        <v>229</v>
      </c>
      <c r="D4" s="783" t="s">
        <v>1517</v>
      </c>
      <c r="E4" s="783" t="s">
        <v>1517</v>
      </c>
      <c r="F4" s="783" t="s">
        <v>1517</v>
      </c>
      <c r="G4" s="783" t="s">
        <v>1517</v>
      </c>
      <c r="H4" s="783" t="s">
        <v>1517</v>
      </c>
    </row>
    <row r="5" spans="1:8" ht="14.25" customHeight="1">
      <c r="A5" s="784" t="s">
        <v>1069</v>
      </c>
      <c r="B5" s="776">
        <v>5974</v>
      </c>
      <c r="C5" s="776">
        <v>11340</v>
      </c>
      <c r="D5" s="776">
        <v>2233389</v>
      </c>
      <c r="E5" s="776">
        <v>2159802</v>
      </c>
      <c r="F5" s="776">
        <v>73587</v>
      </c>
      <c r="G5" s="776">
        <v>833441</v>
      </c>
      <c r="H5" s="776">
        <v>792931</v>
      </c>
    </row>
    <row r="6" spans="1:8" ht="14.25" customHeight="1">
      <c r="A6" s="784" t="s">
        <v>1518</v>
      </c>
      <c r="B6" s="776">
        <v>6095</v>
      </c>
      <c r="C6" s="776">
        <v>11561</v>
      </c>
      <c r="D6" s="776">
        <v>2351930</v>
      </c>
      <c r="E6" s="776">
        <v>2227439</v>
      </c>
      <c r="F6" s="776">
        <v>124491</v>
      </c>
      <c r="G6" s="776">
        <v>815606</v>
      </c>
      <c r="H6" s="776">
        <v>780194</v>
      </c>
    </row>
    <row r="7" spans="1:8" ht="14.25" customHeight="1">
      <c r="A7" s="784" t="s">
        <v>1519</v>
      </c>
      <c r="B7" s="776">
        <v>6660</v>
      </c>
      <c r="C7" s="776">
        <v>12527</v>
      </c>
      <c r="D7" s="776">
        <v>2696530</v>
      </c>
      <c r="E7" s="776">
        <v>2613380</v>
      </c>
      <c r="F7" s="776">
        <v>83150</v>
      </c>
      <c r="G7" s="776">
        <v>848639</v>
      </c>
      <c r="H7" s="776">
        <v>811062</v>
      </c>
    </row>
    <row r="8" spans="1:8" ht="14.25" customHeight="1">
      <c r="A8" s="784" t="s">
        <v>1520</v>
      </c>
      <c r="B8" s="776">
        <v>6685</v>
      </c>
      <c r="C8" s="776">
        <v>12458</v>
      </c>
      <c r="D8" s="776">
        <v>2795392</v>
      </c>
      <c r="E8" s="776">
        <v>2717572</v>
      </c>
      <c r="F8" s="776">
        <v>77820</v>
      </c>
      <c r="G8" s="776">
        <v>854698</v>
      </c>
      <c r="H8" s="776">
        <v>813983</v>
      </c>
    </row>
    <row r="9" spans="1:8" ht="14.25" customHeight="1">
      <c r="A9" s="784" t="s">
        <v>1521</v>
      </c>
      <c r="B9" s="776">
        <v>6681</v>
      </c>
      <c r="C9" s="776">
        <v>12113</v>
      </c>
      <c r="D9" s="776">
        <v>3078224</v>
      </c>
      <c r="E9" s="776">
        <v>2954555</v>
      </c>
      <c r="F9" s="776">
        <v>123669</v>
      </c>
      <c r="G9" s="776">
        <v>836352</v>
      </c>
      <c r="H9" s="776">
        <v>794442</v>
      </c>
    </row>
    <row r="10" spans="1:8" ht="14.25" customHeight="1">
      <c r="A10" s="784" t="s">
        <v>1522</v>
      </c>
      <c r="B10" s="776">
        <v>4860</v>
      </c>
      <c r="C10" s="776">
        <v>8141</v>
      </c>
      <c r="D10" s="776">
        <v>2998453</v>
      </c>
      <c r="E10" s="776">
        <v>2915553</v>
      </c>
      <c r="F10" s="776">
        <v>82900</v>
      </c>
      <c r="G10" s="776">
        <v>603219</v>
      </c>
      <c r="H10" s="776">
        <v>554324</v>
      </c>
    </row>
    <row r="11" spans="1:8" ht="14.25" customHeight="1">
      <c r="A11" s="784" t="s">
        <v>1523</v>
      </c>
      <c r="B11" s="776">
        <v>4730</v>
      </c>
      <c r="C11" s="776">
        <v>8178</v>
      </c>
      <c r="D11" s="776">
        <v>3066904</v>
      </c>
      <c r="E11" s="776">
        <v>2934513</v>
      </c>
      <c r="F11" s="776">
        <v>132390</v>
      </c>
      <c r="G11" s="776">
        <v>588835</v>
      </c>
      <c r="H11" s="776">
        <v>543596</v>
      </c>
    </row>
    <row r="12" spans="1:8" ht="14.25" customHeight="1">
      <c r="A12" s="784" t="s">
        <v>1524</v>
      </c>
      <c r="B12" s="776">
        <v>4721</v>
      </c>
      <c r="C12" s="776">
        <v>8074</v>
      </c>
      <c r="D12" s="776">
        <v>3005306</v>
      </c>
      <c r="E12" s="776">
        <v>2881320</v>
      </c>
      <c r="F12" s="776">
        <v>123986</v>
      </c>
      <c r="G12" s="776">
        <v>551613</v>
      </c>
      <c r="H12" s="776">
        <v>510739</v>
      </c>
    </row>
    <row r="13" spans="1:8" ht="14.25" customHeight="1">
      <c r="A13" s="784" t="s">
        <v>1525</v>
      </c>
      <c r="B13" s="776">
        <v>4690</v>
      </c>
      <c r="C13" s="776">
        <v>7948</v>
      </c>
      <c r="D13" s="776">
        <v>3146071</v>
      </c>
      <c r="E13" s="776">
        <v>3074382</v>
      </c>
      <c r="F13" s="776">
        <v>71689</v>
      </c>
      <c r="G13" s="776">
        <v>550199</v>
      </c>
      <c r="H13" s="776">
        <v>509626</v>
      </c>
    </row>
    <row r="14" spans="1:8" ht="14.25" customHeight="1">
      <c r="A14" s="784" t="s">
        <v>1526</v>
      </c>
      <c r="B14" s="776">
        <v>4679</v>
      </c>
      <c r="C14" s="776">
        <v>7872</v>
      </c>
      <c r="D14" s="776">
        <v>3332227</v>
      </c>
      <c r="E14" s="776">
        <v>3253744</v>
      </c>
      <c r="F14" s="776">
        <v>78483</v>
      </c>
      <c r="G14" s="776">
        <v>647089</v>
      </c>
      <c r="H14" s="776">
        <v>601356</v>
      </c>
    </row>
    <row r="15" spans="1:8" ht="14.25" customHeight="1">
      <c r="A15" s="784" t="s">
        <v>1527</v>
      </c>
      <c r="B15" s="776">
        <v>4631</v>
      </c>
      <c r="C15" s="776">
        <v>7738</v>
      </c>
      <c r="D15" s="776">
        <v>3385066</v>
      </c>
      <c r="E15" s="776">
        <v>3271895</v>
      </c>
      <c r="F15" s="776">
        <v>113171</v>
      </c>
      <c r="G15" s="776">
        <v>639271</v>
      </c>
      <c r="H15" s="776">
        <v>597805</v>
      </c>
    </row>
    <row r="16" spans="1:8" ht="14.25" customHeight="1">
      <c r="A16" s="784" t="s">
        <v>1528</v>
      </c>
      <c r="B16" s="776">
        <v>4621</v>
      </c>
      <c r="C16" s="776">
        <v>7664</v>
      </c>
      <c r="D16" s="776">
        <v>3509686</v>
      </c>
      <c r="E16" s="776">
        <v>3427716</v>
      </c>
      <c r="F16" s="776">
        <f>+D16-E16</f>
        <v>81970</v>
      </c>
      <c r="G16" s="776">
        <v>610132</v>
      </c>
      <c r="H16" s="776">
        <v>573100</v>
      </c>
    </row>
    <row r="17" spans="1:10" ht="14.25" customHeight="1">
      <c r="A17" s="784" t="s">
        <v>1529</v>
      </c>
      <c r="B17" s="776">
        <v>4544</v>
      </c>
      <c r="C17" s="776">
        <v>7440</v>
      </c>
      <c r="D17" s="776">
        <v>3931994</v>
      </c>
      <c r="E17" s="776">
        <v>3787277</v>
      </c>
      <c r="F17" s="776">
        <f>+D17-E17</f>
        <v>144717</v>
      </c>
      <c r="G17" s="776">
        <v>574904</v>
      </c>
      <c r="H17" s="776">
        <v>545827</v>
      </c>
    </row>
    <row r="18" spans="1:10" ht="14.25" customHeight="1">
      <c r="A18" s="784" t="s">
        <v>1530</v>
      </c>
      <c r="B18" s="776">
        <v>4453</v>
      </c>
      <c r="C18" s="776">
        <v>7176</v>
      </c>
      <c r="D18" s="776">
        <v>3851238</v>
      </c>
      <c r="E18" s="776">
        <v>3713541</v>
      </c>
      <c r="F18" s="776">
        <v>137697</v>
      </c>
      <c r="G18" s="776">
        <v>570598</v>
      </c>
      <c r="H18" s="776">
        <v>545290</v>
      </c>
    </row>
    <row r="19" spans="1:10" ht="14.25" customHeight="1">
      <c r="A19" s="784" t="s">
        <v>1531</v>
      </c>
      <c r="B19" s="776">
        <v>4315</v>
      </c>
      <c r="C19" s="776">
        <v>6818</v>
      </c>
      <c r="D19" s="776">
        <v>3766522</v>
      </c>
      <c r="E19" s="776">
        <v>3547528</v>
      </c>
      <c r="F19" s="776">
        <v>218994</v>
      </c>
      <c r="G19" s="776">
        <v>559407</v>
      </c>
      <c r="H19" s="776">
        <v>535441</v>
      </c>
    </row>
    <row r="20" spans="1:10" ht="14.25" customHeight="1">
      <c r="A20" s="784" t="s">
        <v>1532</v>
      </c>
      <c r="B20" s="776">
        <v>4164</v>
      </c>
      <c r="C20" s="776">
        <v>6542</v>
      </c>
      <c r="D20" s="776">
        <v>3163531</v>
      </c>
      <c r="E20" s="776">
        <v>3131468</v>
      </c>
      <c r="F20" s="776">
        <v>32063</v>
      </c>
      <c r="G20" s="776">
        <v>535558</v>
      </c>
      <c r="H20" s="776">
        <v>518332</v>
      </c>
    </row>
    <row r="21" spans="1:10" ht="14.25" customHeight="1">
      <c r="A21" s="784">
        <v>31</v>
      </c>
      <c r="B21" s="776">
        <v>4052</v>
      </c>
      <c r="C21" s="776">
        <v>6352</v>
      </c>
      <c r="D21" s="776">
        <v>3028455</v>
      </c>
      <c r="E21" s="776">
        <v>3007278</v>
      </c>
      <c r="F21" s="776">
        <v>21177</v>
      </c>
      <c r="G21" s="776">
        <v>515250</v>
      </c>
      <c r="H21" s="776">
        <v>499145</v>
      </c>
    </row>
    <row r="22" spans="1:10" ht="14.25" customHeight="1">
      <c r="A22" s="784" t="s">
        <v>1502</v>
      </c>
      <c r="B22" s="776">
        <v>4012</v>
      </c>
      <c r="C22" s="776">
        <v>6207</v>
      </c>
      <c r="D22" s="776">
        <v>2934390</v>
      </c>
      <c r="E22" s="776">
        <v>2909486</v>
      </c>
      <c r="F22" s="776">
        <v>24904</v>
      </c>
      <c r="G22" s="776">
        <v>510703</v>
      </c>
      <c r="H22" s="776">
        <v>488884</v>
      </c>
    </row>
    <row r="23" spans="1:10" ht="14.25" customHeight="1">
      <c r="A23" s="784">
        <v>3</v>
      </c>
      <c r="B23" s="776">
        <v>3964</v>
      </c>
      <c r="C23" s="776">
        <v>6091</v>
      </c>
      <c r="D23" s="776">
        <v>2941455</v>
      </c>
      <c r="E23" s="776">
        <v>2926223</v>
      </c>
      <c r="F23" s="776">
        <v>15232</v>
      </c>
      <c r="G23" s="776">
        <v>491978</v>
      </c>
      <c r="H23" s="776">
        <v>476253</v>
      </c>
    </row>
    <row r="24" spans="1:10" ht="14.25" customHeight="1">
      <c r="A24" s="784">
        <v>4</v>
      </c>
      <c r="B24" s="776">
        <v>3830</v>
      </c>
      <c r="C24" s="776">
        <v>5828</v>
      </c>
      <c r="D24" s="776">
        <v>3034821</v>
      </c>
      <c r="E24" s="776">
        <v>3017975</v>
      </c>
      <c r="F24" s="776">
        <v>16846</v>
      </c>
      <c r="G24" s="776">
        <v>479011</v>
      </c>
      <c r="H24" s="776">
        <v>461460</v>
      </c>
    </row>
    <row r="25" spans="1:10" s="1926" customFormat="1" ht="14.25" customHeight="1">
      <c r="A25" s="1924"/>
      <c r="B25" s="1925"/>
      <c r="C25" s="1925"/>
      <c r="D25" s="1925"/>
      <c r="E25" s="1925"/>
      <c r="F25" s="1925"/>
      <c r="G25" s="1925"/>
      <c r="H25" s="1925"/>
      <c r="J25" s="1927"/>
    </row>
    <row r="26" spans="1:10" ht="14.25" customHeight="1">
      <c r="A26" s="785"/>
      <c r="B26" s="1181"/>
      <c r="C26" s="1181"/>
      <c r="D26" s="1181"/>
      <c r="E26" s="1181"/>
      <c r="F26" s="1181"/>
      <c r="G26" s="1181"/>
      <c r="H26" s="1181"/>
    </row>
    <row r="27" spans="1:10" ht="16.8" customHeight="1">
      <c r="A27" s="1180" t="s">
        <v>1533</v>
      </c>
      <c r="B27" s="787"/>
      <c r="C27" s="787"/>
      <c r="D27" s="787"/>
      <c r="E27" s="787"/>
      <c r="F27" s="787"/>
      <c r="G27" s="787"/>
      <c r="H27" s="787"/>
    </row>
    <row r="28" spans="1:10" ht="16.8" customHeight="1">
      <c r="A28" s="788" t="s">
        <v>1534</v>
      </c>
      <c r="B28" s="787" t="s">
        <v>1535</v>
      </c>
      <c r="C28" s="787"/>
      <c r="D28" s="787"/>
      <c r="E28" s="787"/>
      <c r="F28" s="787"/>
      <c r="G28" s="787"/>
      <c r="H28" s="787"/>
    </row>
    <row r="29" spans="1:10" ht="16.8" customHeight="1">
      <c r="A29" s="787"/>
      <c r="B29" s="787" t="s">
        <v>1536</v>
      </c>
      <c r="C29" s="787"/>
      <c r="D29" s="787"/>
      <c r="E29" s="787"/>
      <c r="F29" s="787"/>
      <c r="G29" s="787"/>
      <c r="H29" s="787"/>
    </row>
    <row r="30" spans="1:10" ht="14.25" customHeight="1">
      <c r="B30" s="779" t="s">
        <v>1537</v>
      </c>
    </row>
    <row r="31" spans="1:10" ht="30" customHeight="1">
      <c r="A31" s="778" t="s">
        <v>1538</v>
      </c>
    </row>
    <row r="32" spans="1:10" ht="14.25" customHeight="1">
      <c r="A32" s="2613" t="s">
        <v>1498</v>
      </c>
      <c r="B32" s="2615" t="s">
        <v>1539</v>
      </c>
      <c r="C32" s="2615"/>
      <c r="D32" s="2615" t="s">
        <v>1540</v>
      </c>
      <c r="E32" s="2615"/>
      <c r="F32" s="789" t="s">
        <v>1541</v>
      </c>
      <c r="G32" s="2616" t="s">
        <v>1542</v>
      </c>
      <c r="H32" s="2616" t="s">
        <v>1543</v>
      </c>
    </row>
    <row r="33" spans="1:8" ht="14.25" customHeight="1">
      <c r="A33" s="2614"/>
      <c r="B33" s="781" t="s">
        <v>1544</v>
      </c>
      <c r="C33" s="781" t="s">
        <v>1545</v>
      </c>
      <c r="D33" s="781" t="s">
        <v>1544</v>
      </c>
      <c r="E33" s="781" t="s">
        <v>1545</v>
      </c>
      <c r="F33" s="785" t="s">
        <v>1546</v>
      </c>
      <c r="G33" s="2616"/>
      <c r="H33" s="2616"/>
    </row>
    <row r="34" spans="1:8" ht="14.25" customHeight="1">
      <c r="A34" s="782"/>
      <c r="B34" s="783" t="s">
        <v>230</v>
      </c>
      <c r="C34" s="783" t="s">
        <v>1517</v>
      </c>
      <c r="D34" s="783" t="s">
        <v>230</v>
      </c>
      <c r="E34" s="783" t="s">
        <v>1517</v>
      </c>
      <c r="F34" s="783" t="s">
        <v>1517</v>
      </c>
      <c r="G34" s="783" t="s">
        <v>1517</v>
      </c>
      <c r="H34" s="783" t="s">
        <v>1517</v>
      </c>
    </row>
    <row r="35" spans="1:8" ht="14.25" customHeight="1">
      <c r="A35" s="784" t="s">
        <v>1547</v>
      </c>
      <c r="B35" s="776">
        <v>90815</v>
      </c>
      <c r="C35" s="776">
        <v>1250474</v>
      </c>
      <c r="D35" s="776">
        <v>2191</v>
      </c>
      <c r="E35" s="776">
        <v>13461</v>
      </c>
      <c r="F35" s="776">
        <v>11400</v>
      </c>
      <c r="G35" s="776">
        <v>5850</v>
      </c>
      <c r="H35" s="776">
        <v>141274</v>
      </c>
    </row>
    <row r="36" spans="1:8" ht="14.25" customHeight="1">
      <c r="A36" s="784" t="s">
        <v>1518</v>
      </c>
      <c r="B36" s="776">
        <v>96993</v>
      </c>
      <c r="C36" s="776">
        <v>1391050</v>
      </c>
      <c r="D36" s="776">
        <v>2136</v>
      </c>
      <c r="E36" s="776">
        <v>13410</v>
      </c>
      <c r="F36" s="776">
        <v>12900</v>
      </c>
      <c r="G36" s="776">
        <v>7220</v>
      </c>
      <c r="H36" s="776">
        <v>161440</v>
      </c>
    </row>
    <row r="37" spans="1:8" ht="14.25" customHeight="1">
      <c r="A37" s="784" t="s">
        <v>1519</v>
      </c>
      <c r="B37" s="776">
        <v>104097</v>
      </c>
      <c r="C37" s="776">
        <v>1497633</v>
      </c>
      <c r="D37" s="776">
        <v>2367</v>
      </c>
      <c r="E37" s="776">
        <v>14900</v>
      </c>
      <c r="F37" s="776">
        <v>11100</v>
      </c>
      <c r="G37" s="776">
        <v>7940</v>
      </c>
      <c r="H37" s="776">
        <v>161346</v>
      </c>
    </row>
    <row r="38" spans="1:8" ht="14.25" customHeight="1">
      <c r="A38" s="784" t="s">
        <v>1520</v>
      </c>
      <c r="B38" s="776">
        <v>109649</v>
      </c>
      <c r="C38" s="776">
        <v>1618068</v>
      </c>
      <c r="D38" s="776">
        <v>2535</v>
      </c>
      <c r="E38" s="776">
        <v>17618</v>
      </c>
      <c r="F38" s="776">
        <v>10250</v>
      </c>
      <c r="G38" s="776">
        <v>7860</v>
      </c>
      <c r="H38" s="776">
        <v>172786</v>
      </c>
    </row>
    <row r="39" spans="1:8" ht="14.25" customHeight="1">
      <c r="A39" s="784" t="s">
        <v>1521</v>
      </c>
      <c r="B39" s="776">
        <v>113504</v>
      </c>
      <c r="C39" s="776">
        <v>1769673</v>
      </c>
      <c r="D39" s="776">
        <v>2416</v>
      </c>
      <c r="E39" s="776">
        <v>16157</v>
      </c>
      <c r="F39" s="776">
        <v>11900</v>
      </c>
      <c r="G39" s="776">
        <v>6960</v>
      </c>
      <c r="H39" s="776">
        <v>179580</v>
      </c>
    </row>
    <row r="40" spans="1:8" ht="14.25" customHeight="1">
      <c r="A40" s="784" t="s">
        <v>1522</v>
      </c>
      <c r="B40" s="776">
        <v>112518</v>
      </c>
      <c r="C40" s="776">
        <v>1744170</v>
      </c>
      <c r="D40" s="776">
        <v>2597</v>
      </c>
      <c r="E40" s="776">
        <v>17237</v>
      </c>
      <c r="F40" s="776">
        <v>11350</v>
      </c>
      <c r="G40" s="776">
        <v>2820</v>
      </c>
      <c r="H40" s="776">
        <v>215317</v>
      </c>
    </row>
    <row r="41" spans="1:8" ht="14.25" customHeight="1">
      <c r="A41" s="784" t="s">
        <v>1523</v>
      </c>
      <c r="B41" s="776">
        <v>113612</v>
      </c>
      <c r="C41" s="776">
        <v>1763581</v>
      </c>
      <c r="D41" s="776">
        <v>2599</v>
      </c>
      <c r="E41" s="776">
        <v>17805</v>
      </c>
      <c r="F41" s="776">
        <v>9652</v>
      </c>
      <c r="G41" s="776">
        <v>1650</v>
      </c>
      <c r="H41" s="776">
        <v>220830</v>
      </c>
    </row>
    <row r="42" spans="1:8" ht="14.25" customHeight="1">
      <c r="A42" s="784" t="s">
        <v>1524</v>
      </c>
      <c r="B42" s="776">
        <v>110997</v>
      </c>
      <c r="C42" s="776">
        <v>1749692</v>
      </c>
      <c r="D42" s="776">
        <v>2874</v>
      </c>
      <c r="E42" s="776">
        <v>19714</v>
      </c>
      <c r="F42" s="776">
        <v>10860</v>
      </c>
      <c r="G42" s="776">
        <v>960</v>
      </c>
      <c r="H42" s="776">
        <v>225133</v>
      </c>
    </row>
    <row r="43" spans="1:8" ht="14.25" customHeight="1">
      <c r="A43" s="784" t="s">
        <v>1525</v>
      </c>
      <c r="B43" s="776">
        <v>110663</v>
      </c>
      <c r="C43" s="776">
        <v>1837373</v>
      </c>
      <c r="D43" s="776">
        <v>2654</v>
      </c>
      <c r="E43" s="776">
        <v>20133</v>
      </c>
      <c r="F43" s="776">
        <v>13770</v>
      </c>
      <c r="G43" s="776">
        <v>1500</v>
      </c>
      <c r="H43" s="776">
        <v>244083</v>
      </c>
    </row>
    <row r="44" spans="1:8" ht="14.25" customHeight="1">
      <c r="A44" s="784" t="s">
        <v>1526</v>
      </c>
      <c r="B44" s="776">
        <v>110570</v>
      </c>
      <c r="C44" s="776">
        <v>1885898</v>
      </c>
      <c r="D44" s="776">
        <v>2296</v>
      </c>
      <c r="E44" s="776">
        <v>15514</v>
      </c>
      <c r="F44" s="776">
        <v>6570</v>
      </c>
      <c r="G44" s="776">
        <v>1410</v>
      </c>
      <c r="H44" s="776">
        <v>265256</v>
      </c>
    </row>
    <row r="45" spans="1:8" ht="14.25" customHeight="1">
      <c r="A45" s="784" t="s">
        <v>1527</v>
      </c>
      <c r="B45" s="777">
        <v>112162</v>
      </c>
      <c r="C45" s="777">
        <v>1905541</v>
      </c>
      <c r="D45" s="777">
        <v>2257</v>
      </c>
      <c r="E45" s="777">
        <v>17734</v>
      </c>
      <c r="F45" s="777">
        <v>8280</v>
      </c>
      <c r="G45" s="777">
        <v>1590</v>
      </c>
      <c r="H45" s="777">
        <v>271230</v>
      </c>
    </row>
    <row r="46" spans="1:8" ht="14.25" customHeight="1">
      <c r="A46" s="784" t="s">
        <v>1528</v>
      </c>
      <c r="B46" s="777">
        <f>103269</f>
        <v>103269</v>
      </c>
      <c r="C46" s="777">
        <v>2077035</v>
      </c>
      <c r="D46" s="777">
        <f>2100</f>
        <v>2100</v>
      </c>
      <c r="E46" s="777">
        <v>16156</v>
      </c>
      <c r="F46" s="777">
        <v>9224</v>
      </c>
      <c r="G46" s="777">
        <v>1560</v>
      </c>
      <c r="H46" s="777">
        <v>309647</v>
      </c>
    </row>
    <row r="47" spans="1:8" ht="14.25" customHeight="1">
      <c r="A47" s="784" t="s">
        <v>1529</v>
      </c>
      <c r="B47" s="777">
        <f>104259+6606</f>
        <v>110865</v>
      </c>
      <c r="C47" s="777">
        <v>2065672</v>
      </c>
      <c r="D47" s="777">
        <f>1871+107</f>
        <v>1978</v>
      </c>
      <c r="E47" s="777">
        <v>13620</v>
      </c>
      <c r="F47" s="777">
        <v>12520</v>
      </c>
      <c r="G47" s="777">
        <v>990</v>
      </c>
      <c r="H47" s="777">
        <v>318066</v>
      </c>
    </row>
    <row r="48" spans="1:8" ht="14.25" customHeight="1">
      <c r="A48" s="784" t="s">
        <v>1530</v>
      </c>
      <c r="B48" s="777">
        <v>107665</v>
      </c>
      <c r="C48" s="777">
        <v>1960615</v>
      </c>
      <c r="D48" s="777">
        <v>1779</v>
      </c>
      <c r="E48" s="777">
        <v>11966</v>
      </c>
      <c r="F48" s="777">
        <v>9984</v>
      </c>
      <c r="G48" s="777">
        <v>1470</v>
      </c>
      <c r="H48" s="777">
        <v>295975</v>
      </c>
    </row>
    <row r="49" spans="1:8" ht="14.25" customHeight="1">
      <c r="A49" s="784" t="s">
        <v>1531</v>
      </c>
      <c r="B49" s="777">
        <v>103788</v>
      </c>
      <c r="C49" s="777">
        <v>1822916</v>
      </c>
      <c r="D49" s="777">
        <v>1498</v>
      </c>
      <c r="E49" s="777">
        <v>11691</v>
      </c>
      <c r="F49" s="777">
        <v>7560</v>
      </c>
      <c r="G49" s="777">
        <v>1350</v>
      </c>
      <c r="H49" s="776">
        <v>277969</v>
      </c>
    </row>
    <row r="50" spans="1:8" ht="14.25" customHeight="1">
      <c r="A50" s="784" t="s">
        <v>1532</v>
      </c>
      <c r="B50" s="777">
        <v>101887</v>
      </c>
      <c r="C50" s="777">
        <v>1801031</v>
      </c>
      <c r="D50" s="777">
        <v>1326</v>
      </c>
      <c r="E50" s="777">
        <v>10455</v>
      </c>
      <c r="F50" s="777">
        <v>7140</v>
      </c>
      <c r="G50" s="777">
        <v>1230</v>
      </c>
      <c r="H50" s="776">
        <v>262168</v>
      </c>
    </row>
    <row r="51" spans="1:8" ht="14.25" customHeight="1">
      <c r="A51" s="784">
        <v>31</v>
      </c>
      <c r="B51" s="777">
        <v>99863</v>
      </c>
      <c r="C51" s="777">
        <v>1801831</v>
      </c>
      <c r="D51" s="777">
        <v>1352</v>
      </c>
      <c r="E51" s="777">
        <v>11907</v>
      </c>
      <c r="F51" s="777">
        <v>5864</v>
      </c>
      <c r="G51" s="777">
        <v>1020</v>
      </c>
      <c r="H51" s="776">
        <v>282632</v>
      </c>
    </row>
    <row r="52" spans="1:8" ht="14.25" customHeight="1">
      <c r="A52" s="784" t="s">
        <v>1502</v>
      </c>
      <c r="B52" s="777">
        <v>93366</v>
      </c>
      <c r="C52" s="777">
        <v>1746263</v>
      </c>
      <c r="D52" s="777">
        <v>1215</v>
      </c>
      <c r="E52" s="777">
        <v>9880</v>
      </c>
      <c r="F52" s="777">
        <v>7451</v>
      </c>
      <c r="G52" s="777">
        <v>1380</v>
      </c>
      <c r="H52" s="776">
        <v>262375</v>
      </c>
    </row>
    <row r="53" spans="1:8" ht="14.25" customHeight="1">
      <c r="A53" s="784">
        <v>3</v>
      </c>
      <c r="B53" s="777">
        <v>96319</v>
      </c>
      <c r="C53" s="777">
        <v>1810614</v>
      </c>
      <c r="D53" s="777">
        <v>1285</v>
      </c>
      <c r="E53" s="777">
        <v>10254</v>
      </c>
      <c r="F53" s="777">
        <v>7140</v>
      </c>
      <c r="G53" s="777">
        <v>1350</v>
      </c>
      <c r="H53" s="776">
        <v>269818</v>
      </c>
    </row>
    <row r="54" spans="1:8" ht="14.25" customHeight="1">
      <c r="A54" s="784">
        <v>4</v>
      </c>
      <c r="B54" s="777">
        <v>94396</v>
      </c>
      <c r="C54" s="777">
        <v>1877811</v>
      </c>
      <c r="D54" s="777">
        <v>1155</v>
      </c>
      <c r="E54" s="777">
        <v>9331</v>
      </c>
      <c r="F54" s="777">
        <v>4188</v>
      </c>
      <c r="G54" s="777">
        <v>1410</v>
      </c>
      <c r="H54" s="776">
        <v>298736</v>
      </c>
    </row>
    <row r="55" spans="1:8" ht="14.25" customHeight="1">
      <c r="A55" s="1924"/>
      <c r="B55" s="1962"/>
      <c r="C55" s="1962"/>
      <c r="D55" s="1962"/>
      <c r="E55" s="1962"/>
      <c r="F55" s="1962"/>
      <c r="G55" s="1962"/>
      <c r="H55" s="1925"/>
    </row>
    <row r="56" spans="1:8" ht="14.25" customHeight="1">
      <c r="A56" s="1178"/>
      <c r="B56" s="1179"/>
      <c r="C56" s="1179"/>
      <c r="D56" s="1179"/>
      <c r="E56" s="1179"/>
      <c r="F56" s="1179"/>
      <c r="G56" s="1179"/>
      <c r="H56" s="1179"/>
    </row>
    <row r="57" spans="1:8" ht="16.8" customHeight="1">
      <c r="A57" s="786" t="s">
        <v>1548</v>
      </c>
      <c r="B57" s="787"/>
      <c r="C57" s="787"/>
      <c r="D57" s="787"/>
      <c r="E57" s="787"/>
      <c r="F57" s="787"/>
      <c r="G57" s="787"/>
      <c r="H57" s="787"/>
    </row>
    <row r="58" spans="1:8" ht="16.8" customHeight="1">
      <c r="A58" s="788" t="s">
        <v>1534</v>
      </c>
      <c r="B58" s="787" t="s">
        <v>1550</v>
      </c>
      <c r="C58" s="787"/>
      <c r="D58" s="787"/>
      <c r="E58" s="787"/>
      <c r="F58" s="787"/>
      <c r="G58" s="787"/>
      <c r="H58" s="787"/>
    </row>
    <row r="59" spans="1:8" ht="16.8" customHeight="1">
      <c r="A59" s="787"/>
      <c r="B59" s="787" t="s">
        <v>1549</v>
      </c>
      <c r="C59" s="787"/>
      <c r="D59" s="787"/>
      <c r="E59" s="787"/>
      <c r="F59" s="787"/>
      <c r="G59" s="787"/>
      <c r="H59" s="787"/>
    </row>
    <row r="60" spans="1:8" ht="14.25" customHeight="1"/>
    <row r="61" spans="1:8" ht="14.25" customHeight="1"/>
    <row r="62" spans="1:8" ht="14.25" customHeight="1"/>
    <row r="63" spans="1:8" ht="14.25" customHeight="1"/>
  </sheetData>
  <mergeCells count="9">
    <mergeCell ref="A2:A3"/>
    <mergeCell ref="B2:C2"/>
    <mergeCell ref="D2:F2"/>
    <mergeCell ref="G2:H2"/>
    <mergeCell ref="A32:A33"/>
    <mergeCell ref="B32:C32"/>
    <mergeCell ref="D32:E32"/>
    <mergeCell ref="G32:G33"/>
    <mergeCell ref="H32:H33"/>
  </mergeCells>
  <phoneticPr fontId="4"/>
  <printOptions horizontalCentered="1"/>
  <pageMargins left="0.78740157480314965" right="0.78740157480314965" top="0.98425196850393704" bottom="0.98425196850393704" header="0.51181102362204722" footer="0.51181102362204722"/>
  <pageSetup paperSize="9" scale="76"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7F75D-B3DF-41F3-AF79-D54165E4BB08}">
  <sheetPr codeName="Sheet55"/>
  <dimension ref="A1:M71"/>
  <sheetViews>
    <sheetView zoomScaleNormal="100" workbookViewId="0"/>
  </sheetViews>
  <sheetFormatPr defaultColWidth="9" defaultRowHeight="13.2"/>
  <cols>
    <col min="1" max="11" width="10.59765625" style="791" customWidth="1"/>
    <col min="12" max="12" width="9.19921875" style="791" customWidth="1"/>
    <col min="13" max="16384" width="9" style="791"/>
  </cols>
  <sheetData>
    <row r="1" spans="1:13" ht="30" customHeight="1" thickBot="1">
      <c r="A1" s="790" t="s">
        <v>1551</v>
      </c>
    </row>
    <row r="2" spans="1:13" ht="21.75" customHeight="1">
      <c r="A2" s="2623" t="s">
        <v>1498</v>
      </c>
      <c r="B2" s="2626" t="s">
        <v>1552</v>
      </c>
      <c r="C2" s="2626"/>
      <c r="D2" s="2628" t="s">
        <v>1553</v>
      </c>
      <c r="E2" s="2628"/>
      <c r="F2" s="2617" t="s">
        <v>1554</v>
      </c>
      <c r="G2" s="2623"/>
      <c r="H2" s="2617" t="s">
        <v>1555</v>
      </c>
      <c r="I2" s="2623"/>
      <c r="J2" s="2617" t="s">
        <v>1556</v>
      </c>
      <c r="K2" s="2618"/>
      <c r="L2" s="792"/>
      <c r="M2" s="793"/>
    </row>
    <row r="3" spans="1:13" ht="21.75" customHeight="1">
      <c r="A3" s="2624"/>
      <c r="B3" s="2627"/>
      <c r="C3" s="2627"/>
      <c r="D3" s="2629"/>
      <c r="E3" s="2629"/>
      <c r="F3" s="2619"/>
      <c r="G3" s="2624"/>
      <c r="H3" s="2619"/>
      <c r="I3" s="2624"/>
      <c r="J3" s="2619"/>
      <c r="K3" s="2620"/>
      <c r="L3" s="792"/>
      <c r="M3" s="793"/>
    </row>
    <row r="4" spans="1:13" ht="21.75" customHeight="1">
      <c r="A4" s="2624"/>
      <c r="B4" s="2627"/>
      <c r="C4" s="2627"/>
      <c r="D4" s="2629"/>
      <c r="E4" s="2629"/>
      <c r="F4" s="2621"/>
      <c r="G4" s="2625"/>
      <c r="H4" s="2621"/>
      <c r="I4" s="2625"/>
      <c r="J4" s="2621"/>
      <c r="K4" s="2622"/>
      <c r="L4" s="792"/>
      <c r="M4" s="793"/>
    </row>
    <row r="5" spans="1:13" ht="21.75" customHeight="1">
      <c r="A5" s="2625"/>
      <c r="B5" s="794" t="s">
        <v>1544</v>
      </c>
      <c r="C5" s="794" t="s">
        <v>1545</v>
      </c>
      <c r="D5" s="794" t="s">
        <v>1544</v>
      </c>
      <c r="E5" s="794" t="s">
        <v>1545</v>
      </c>
      <c r="F5" s="794" t="s">
        <v>1544</v>
      </c>
      <c r="G5" s="794" t="s">
        <v>1545</v>
      </c>
      <c r="H5" s="794" t="s">
        <v>1544</v>
      </c>
      <c r="I5" s="794" t="s">
        <v>1545</v>
      </c>
      <c r="J5" s="794" t="s">
        <v>1544</v>
      </c>
      <c r="K5" s="795" t="s">
        <v>1545</v>
      </c>
      <c r="L5" s="792"/>
      <c r="M5" s="793"/>
    </row>
    <row r="6" spans="1:13" ht="21.75" customHeight="1">
      <c r="A6" s="796"/>
      <c r="B6" s="797" t="s">
        <v>230</v>
      </c>
      <c r="C6" s="797" t="s">
        <v>1517</v>
      </c>
      <c r="D6" s="797" t="s">
        <v>230</v>
      </c>
      <c r="E6" s="797" t="s">
        <v>1517</v>
      </c>
      <c r="F6" s="797" t="s">
        <v>230</v>
      </c>
      <c r="G6" s="797" t="s">
        <v>1517</v>
      </c>
      <c r="H6" s="797" t="s">
        <v>230</v>
      </c>
      <c r="I6" s="797" t="s">
        <v>1517</v>
      </c>
      <c r="J6" s="797" t="s">
        <v>230</v>
      </c>
      <c r="K6" s="798" t="s">
        <v>1517</v>
      </c>
      <c r="L6" s="799"/>
      <c r="M6" s="793"/>
    </row>
    <row r="7" spans="1:13" ht="21.75" customHeight="1">
      <c r="A7" s="800" t="s">
        <v>1557</v>
      </c>
      <c r="B7" s="801">
        <v>29854</v>
      </c>
      <c r="C7" s="801">
        <v>42804</v>
      </c>
      <c r="D7" s="801">
        <v>28372</v>
      </c>
      <c r="E7" s="801">
        <v>116557</v>
      </c>
      <c r="F7" s="801">
        <v>6523</v>
      </c>
      <c r="G7" s="801">
        <v>20197</v>
      </c>
      <c r="H7" s="801">
        <v>4184</v>
      </c>
      <c r="I7" s="801">
        <v>9166</v>
      </c>
      <c r="J7" s="801">
        <v>68933</v>
      </c>
      <c r="K7" s="802">
        <v>188724</v>
      </c>
      <c r="L7" s="803"/>
      <c r="M7" s="803"/>
    </row>
    <row r="8" spans="1:13" ht="21.75" customHeight="1">
      <c r="A8" s="800">
        <v>26</v>
      </c>
      <c r="B8" s="801">
        <v>30687</v>
      </c>
      <c r="C8" s="801">
        <v>47681</v>
      </c>
      <c r="D8" s="801">
        <v>28552</v>
      </c>
      <c r="E8" s="801">
        <v>121757</v>
      </c>
      <c r="F8" s="801">
        <v>6320</v>
      </c>
      <c r="G8" s="801">
        <v>20959</v>
      </c>
      <c r="H8" s="801">
        <v>4519</v>
      </c>
      <c r="I8" s="801">
        <v>9744</v>
      </c>
      <c r="J8" s="801">
        <v>70078</v>
      </c>
      <c r="K8" s="802">
        <v>200141</v>
      </c>
      <c r="L8" s="803"/>
      <c r="M8" s="803"/>
    </row>
    <row r="9" spans="1:13" ht="21.75" customHeight="1">
      <c r="A9" s="800">
        <v>27</v>
      </c>
      <c r="B9" s="801">
        <v>28819</v>
      </c>
      <c r="C9" s="801">
        <v>43475</v>
      </c>
      <c r="D9" s="801">
        <v>28052</v>
      </c>
      <c r="E9" s="801">
        <v>121698</v>
      </c>
      <c r="F9" s="801">
        <v>7136</v>
      </c>
      <c r="G9" s="801">
        <v>21788</v>
      </c>
      <c r="H9" s="801">
        <v>4221</v>
      </c>
      <c r="I9" s="801">
        <v>8674</v>
      </c>
      <c r="J9" s="801">
        <v>68228</v>
      </c>
      <c r="K9" s="802">
        <v>195635</v>
      </c>
      <c r="L9" s="803"/>
      <c r="M9" s="803"/>
    </row>
    <row r="10" spans="1:13" ht="21.75" customHeight="1">
      <c r="A10" s="800">
        <v>28</v>
      </c>
      <c r="B10" s="801">
        <v>29695</v>
      </c>
      <c r="C10" s="801">
        <v>47655</v>
      </c>
      <c r="D10" s="801">
        <v>27302</v>
      </c>
      <c r="E10" s="801">
        <v>113084</v>
      </c>
      <c r="F10" s="801">
        <v>7021</v>
      </c>
      <c r="G10" s="801">
        <v>20042</v>
      </c>
      <c r="H10" s="801">
        <v>4275</v>
      </c>
      <c r="I10" s="801">
        <v>9723</v>
      </c>
      <c r="J10" s="801">
        <v>68293</v>
      </c>
      <c r="K10" s="802">
        <v>190504</v>
      </c>
      <c r="L10" s="803"/>
      <c r="M10" s="803"/>
    </row>
    <row r="11" spans="1:13" ht="21.75" customHeight="1">
      <c r="A11" s="800">
        <v>29</v>
      </c>
      <c r="B11" s="801">
        <v>30069</v>
      </c>
      <c r="C11" s="801">
        <v>47685</v>
      </c>
      <c r="D11" s="801">
        <v>26688</v>
      </c>
      <c r="E11" s="801">
        <v>108831</v>
      </c>
      <c r="F11" s="801">
        <v>7095</v>
      </c>
      <c r="G11" s="801">
        <v>21893</v>
      </c>
      <c r="H11" s="801">
        <v>4189</v>
      </c>
      <c r="I11" s="801">
        <v>9575</v>
      </c>
      <c r="J11" s="801">
        <v>68041</v>
      </c>
      <c r="K11" s="802">
        <v>187984</v>
      </c>
      <c r="L11" s="803"/>
      <c r="M11" s="803"/>
    </row>
    <row r="12" spans="1:13" ht="21.75" customHeight="1">
      <c r="A12" s="800">
        <v>30</v>
      </c>
      <c r="B12" s="801">
        <v>32193</v>
      </c>
      <c r="C12" s="801">
        <v>58054</v>
      </c>
      <c r="D12" s="801">
        <v>27063</v>
      </c>
      <c r="E12" s="801">
        <v>110190</v>
      </c>
      <c r="F12" s="801">
        <v>7163</v>
      </c>
      <c r="G12" s="801">
        <v>23341</v>
      </c>
      <c r="H12" s="801">
        <v>4217</v>
      </c>
      <c r="I12" s="801">
        <v>10825</v>
      </c>
      <c r="J12" s="801">
        <v>70636</v>
      </c>
      <c r="K12" s="802">
        <v>202410</v>
      </c>
      <c r="L12" s="803"/>
      <c r="M12" s="803"/>
    </row>
    <row r="13" spans="1:13" ht="21.75" customHeight="1">
      <c r="A13" s="800">
        <v>31</v>
      </c>
      <c r="B13" s="801">
        <v>30129</v>
      </c>
      <c r="C13" s="801">
        <v>56622</v>
      </c>
      <c r="D13" s="801">
        <v>27912</v>
      </c>
      <c r="E13" s="801">
        <v>113984</v>
      </c>
      <c r="F13" s="801">
        <v>7583</v>
      </c>
      <c r="G13" s="801">
        <v>23616</v>
      </c>
      <c r="H13" s="801">
        <v>4035</v>
      </c>
      <c r="I13" s="801">
        <v>10256</v>
      </c>
      <c r="J13" s="801">
        <v>69659</v>
      </c>
      <c r="K13" s="802">
        <v>204478</v>
      </c>
      <c r="L13" s="803"/>
      <c r="M13" s="803"/>
    </row>
    <row r="14" spans="1:13" ht="21.75" customHeight="1">
      <c r="A14" s="800" t="s">
        <v>1502</v>
      </c>
      <c r="B14" s="801">
        <v>25586</v>
      </c>
      <c r="C14" s="801">
        <v>49758</v>
      </c>
      <c r="D14" s="801">
        <v>26029</v>
      </c>
      <c r="E14" s="801">
        <v>106273</v>
      </c>
      <c r="F14" s="801">
        <v>7220</v>
      </c>
      <c r="G14" s="801">
        <v>22765</v>
      </c>
      <c r="H14" s="801">
        <v>3183</v>
      </c>
      <c r="I14" s="801">
        <v>8312</v>
      </c>
      <c r="J14" s="801">
        <v>62018</v>
      </c>
      <c r="K14" s="802">
        <v>187107</v>
      </c>
      <c r="L14" s="803"/>
      <c r="M14" s="803"/>
    </row>
    <row r="15" spans="1:13" ht="21.75" customHeight="1">
      <c r="A15" s="800">
        <v>3</v>
      </c>
      <c r="B15" s="801">
        <v>29297</v>
      </c>
      <c r="C15" s="801">
        <v>60260</v>
      </c>
      <c r="D15" s="801">
        <v>34848</v>
      </c>
      <c r="E15" s="801">
        <v>106828</v>
      </c>
      <c r="F15" s="801">
        <v>9140</v>
      </c>
      <c r="G15" s="801">
        <v>23076</v>
      </c>
      <c r="H15" s="801">
        <v>2951</v>
      </c>
      <c r="I15" s="801">
        <v>7027</v>
      </c>
      <c r="J15" s="801">
        <f t="shared" ref="J15:K16" si="0">B15+D15+F15+H15</f>
        <v>76236</v>
      </c>
      <c r="K15" s="802">
        <f t="shared" si="0"/>
        <v>197191</v>
      </c>
      <c r="L15" s="803"/>
      <c r="M15" s="803"/>
    </row>
    <row r="16" spans="1:13" ht="21.75" customHeight="1">
      <c r="A16" s="800">
        <v>4</v>
      </c>
      <c r="B16" s="801">
        <v>31431</v>
      </c>
      <c r="C16" s="801">
        <v>61833</v>
      </c>
      <c r="D16" s="801">
        <v>25314</v>
      </c>
      <c r="E16" s="801">
        <v>102463</v>
      </c>
      <c r="F16" s="801">
        <v>7094</v>
      </c>
      <c r="G16" s="801">
        <v>22706</v>
      </c>
      <c r="H16" s="801">
        <v>2825</v>
      </c>
      <c r="I16" s="801">
        <v>8252</v>
      </c>
      <c r="J16" s="801">
        <f t="shared" si="0"/>
        <v>66664</v>
      </c>
      <c r="K16" s="802">
        <f t="shared" si="0"/>
        <v>195254</v>
      </c>
      <c r="L16" s="803"/>
      <c r="M16" s="803"/>
    </row>
    <row r="17" spans="1:13" ht="21.75" customHeight="1">
      <c r="A17" s="800">
        <v>5</v>
      </c>
      <c r="B17" s="801">
        <v>35436</v>
      </c>
      <c r="C17" s="801">
        <v>71631</v>
      </c>
      <c r="D17" s="801">
        <v>33248</v>
      </c>
      <c r="E17" s="801">
        <v>102256</v>
      </c>
      <c r="F17" s="801">
        <v>10239</v>
      </c>
      <c r="G17" s="801">
        <v>24874</v>
      </c>
      <c r="H17" s="801">
        <v>3280</v>
      </c>
      <c r="I17" s="801">
        <v>8833</v>
      </c>
      <c r="J17" s="801">
        <v>82203</v>
      </c>
      <c r="K17" s="802">
        <v>207594</v>
      </c>
      <c r="L17" s="803"/>
      <c r="M17" s="803"/>
    </row>
    <row r="18" spans="1:13" ht="21.75" customHeight="1" thickBot="1">
      <c r="A18" s="804"/>
      <c r="B18" s="805"/>
      <c r="C18" s="805"/>
      <c r="D18" s="805"/>
      <c r="E18" s="805"/>
      <c r="F18" s="805"/>
      <c r="G18" s="805"/>
      <c r="H18" s="805"/>
      <c r="I18" s="805"/>
      <c r="J18" s="805"/>
      <c r="K18" s="806"/>
      <c r="L18" s="803"/>
      <c r="M18" s="803"/>
    </row>
    <row r="19" spans="1:13" ht="21.75" customHeight="1">
      <c r="A19" s="807" t="s">
        <v>1558</v>
      </c>
      <c r="B19" s="808"/>
      <c r="D19" s="808"/>
      <c r="E19" s="808"/>
      <c r="F19" s="808"/>
      <c r="G19" s="808"/>
      <c r="H19" s="808"/>
      <c r="I19" s="808"/>
      <c r="J19" s="808"/>
      <c r="K19" s="808"/>
      <c r="L19" s="809"/>
    </row>
    <row r="20" spans="1:13" ht="21.75" customHeight="1">
      <c r="A20" s="809" t="s">
        <v>1559</v>
      </c>
      <c r="B20" s="810"/>
      <c r="D20" s="809"/>
      <c r="E20" s="809"/>
      <c r="K20" s="809"/>
      <c r="L20" s="809"/>
    </row>
    <row r="21" spans="1:13" ht="21.75" customHeight="1">
      <c r="A21" s="809" t="s">
        <v>1560</v>
      </c>
      <c r="B21" s="810"/>
      <c r="E21" s="810"/>
      <c r="F21" s="799"/>
      <c r="H21" s="799"/>
      <c r="I21" s="809"/>
      <c r="J21" s="809"/>
      <c r="K21" s="809"/>
      <c r="L21" s="809"/>
    </row>
    <row r="22" spans="1:13" ht="21.75" customHeight="1">
      <c r="A22" s="809" t="s">
        <v>1561</v>
      </c>
      <c r="B22" s="810"/>
      <c r="C22" s="809"/>
      <c r="D22" s="809"/>
      <c r="E22" s="809"/>
      <c r="F22" s="809"/>
      <c r="G22" s="809"/>
      <c r="H22" s="809"/>
      <c r="I22" s="809"/>
      <c r="J22" s="809"/>
      <c r="K22" s="809"/>
      <c r="L22" s="809"/>
    </row>
    <row r="23" spans="1:13" ht="21.75" customHeight="1">
      <c r="B23" s="799"/>
      <c r="C23" s="809"/>
      <c r="D23" s="809"/>
      <c r="E23" s="809"/>
      <c r="F23" s="809"/>
      <c r="G23" s="809"/>
      <c r="H23" s="809"/>
      <c r="I23" s="809"/>
      <c r="J23" s="809"/>
      <c r="K23" s="809"/>
      <c r="L23" s="809"/>
    </row>
    <row r="24" spans="1:13">
      <c r="B24" s="809"/>
      <c r="C24" s="809"/>
      <c r="D24" s="809"/>
      <c r="E24" s="809"/>
      <c r="F24" s="809"/>
      <c r="G24" s="809"/>
      <c r="H24" s="809"/>
      <c r="I24" s="809"/>
      <c r="J24" s="809"/>
      <c r="K24" s="809"/>
      <c r="L24" s="809"/>
    </row>
    <row r="25" spans="1:13">
      <c r="A25" s="809"/>
      <c r="B25" s="809"/>
      <c r="C25" s="809"/>
      <c r="D25" s="809"/>
      <c r="E25" s="809"/>
      <c r="F25" s="809"/>
      <c r="G25" s="809"/>
      <c r="H25" s="809"/>
      <c r="I25" s="809"/>
      <c r="J25" s="809"/>
      <c r="K25" s="809"/>
      <c r="L25" s="809"/>
    </row>
    <row r="26" spans="1:13">
      <c r="A26" s="809"/>
      <c r="B26" s="809"/>
      <c r="C26" s="809"/>
      <c r="D26" s="809"/>
      <c r="E26" s="809"/>
      <c r="F26" s="809"/>
      <c r="G26" s="809"/>
      <c r="H26" s="809"/>
      <c r="I26" s="809"/>
      <c r="J26" s="809"/>
      <c r="K26" s="809"/>
      <c r="L26" s="809"/>
    </row>
    <row r="27" spans="1:13">
      <c r="A27" s="809"/>
      <c r="B27" s="809"/>
      <c r="C27" s="809"/>
      <c r="D27" s="809"/>
      <c r="E27" s="809"/>
      <c r="F27" s="809"/>
      <c r="G27" s="809"/>
      <c r="H27" s="809"/>
      <c r="I27" s="809"/>
      <c r="J27" s="809"/>
      <c r="K27" s="809"/>
      <c r="L27" s="809"/>
    </row>
    <row r="28" spans="1:13">
      <c r="A28" s="809"/>
      <c r="B28" s="809"/>
      <c r="C28" s="809"/>
      <c r="D28" s="809"/>
      <c r="E28" s="809"/>
      <c r="F28" s="809"/>
      <c r="G28" s="809"/>
      <c r="H28" s="809"/>
      <c r="I28" s="809"/>
      <c r="J28" s="809"/>
      <c r="K28" s="809"/>
      <c r="L28" s="809"/>
    </row>
    <row r="29" spans="1:13">
      <c r="A29" s="809"/>
      <c r="B29" s="809"/>
      <c r="C29" s="809"/>
      <c r="D29" s="809"/>
      <c r="E29" s="809"/>
      <c r="F29" s="809"/>
      <c r="G29" s="809"/>
      <c r="H29" s="809"/>
      <c r="I29" s="809"/>
      <c r="J29" s="809"/>
      <c r="K29" s="809"/>
      <c r="L29" s="809"/>
    </row>
    <row r="30" spans="1:13">
      <c r="A30" s="809"/>
      <c r="B30" s="809"/>
      <c r="C30" s="809"/>
      <c r="D30" s="809"/>
      <c r="E30" s="809"/>
      <c r="F30" s="809"/>
      <c r="G30" s="809"/>
      <c r="H30" s="809"/>
      <c r="I30" s="809"/>
      <c r="J30" s="809"/>
      <c r="K30" s="809"/>
      <c r="L30" s="809"/>
    </row>
    <row r="31" spans="1:13">
      <c r="A31" s="809"/>
      <c r="B31" s="809"/>
      <c r="C31" s="809"/>
      <c r="D31" s="809"/>
      <c r="E31" s="809"/>
      <c r="F31" s="809"/>
      <c r="G31" s="809"/>
      <c r="H31" s="809"/>
      <c r="I31" s="809"/>
      <c r="J31" s="809"/>
      <c r="K31" s="809"/>
      <c r="L31" s="809"/>
    </row>
    <row r="32" spans="1:13">
      <c r="A32" s="809"/>
      <c r="B32" s="809"/>
      <c r="C32" s="809"/>
      <c r="D32" s="809"/>
      <c r="E32" s="809"/>
      <c r="F32" s="809"/>
      <c r="G32" s="809"/>
      <c r="H32" s="809"/>
      <c r="I32" s="809"/>
      <c r="J32" s="809"/>
      <c r="K32" s="809"/>
      <c r="L32" s="809"/>
    </row>
    <row r="33" spans="1:12">
      <c r="A33" s="809"/>
      <c r="B33" s="809"/>
      <c r="C33" s="809"/>
      <c r="D33" s="809"/>
      <c r="E33" s="809"/>
      <c r="F33" s="809"/>
      <c r="G33" s="809"/>
      <c r="H33" s="809"/>
      <c r="I33" s="809"/>
      <c r="J33" s="809"/>
      <c r="K33" s="809"/>
      <c r="L33" s="809"/>
    </row>
    <row r="34" spans="1:12">
      <c r="A34" s="809"/>
      <c r="B34" s="809"/>
      <c r="C34" s="809"/>
      <c r="D34" s="809"/>
      <c r="E34" s="809"/>
      <c r="F34" s="809"/>
      <c r="G34" s="809"/>
      <c r="H34" s="809"/>
      <c r="I34" s="809"/>
      <c r="J34" s="809"/>
      <c r="K34" s="809"/>
      <c r="L34" s="809"/>
    </row>
    <row r="35" spans="1:12">
      <c r="A35" s="809"/>
      <c r="B35" s="809"/>
      <c r="C35" s="809"/>
      <c r="D35" s="809"/>
      <c r="E35" s="809"/>
      <c r="F35" s="809"/>
      <c r="G35" s="809"/>
      <c r="H35" s="809"/>
      <c r="I35" s="809"/>
      <c r="J35" s="809"/>
      <c r="K35" s="809"/>
      <c r="L35" s="809"/>
    </row>
    <row r="36" spans="1:12">
      <c r="A36" s="809"/>
      <c r="B36" s="809"/>
      <c r="C36" s="809"/>
      <c r="D36" s="809"/>
      <c r="E36" s="809"/>
      <c r="F36" s="809"/>
      <c r="G36" s="809"/>
      <c r="H36" s="809"/>
      <c r="I36" s="809"/>
      <c r="J36" s="809"/>
      <c r="K36" s="809"/>
      <c r="L36" s="809"/>
    </row>
    <row r="37" spans="1:12">
      <c r="A37" s="809"/>
      <c r="B37" s="809"/>
      <c r="C37" s="809"/>
      <c r="D37" s="809"/>
      <c r="E37" s="809"/>
      <c r="F37" s="809"/>
      <c r="G37" s="809"/>
      <c r="H37" s="809"/>
      <c r="I37" s="809"/>
      <c r="J37" s="809"/>
      <c r="K37" s="809"/>
      <c r="L37" s="809"/>
    </row>
    <row r="38" spans="1:12">
      <c r="A38" s="809"/>
      <c r="B38" s="809"/>
      <c r="C38" s="809"/>
      <c r="D38" s="809"/>
      <c r="E38" s="809"/>
      <c r="F38" s="809"/>
      <c r="G38" s="809"/>
      <c r="H38" s="809"/>
      <c r="I38" s="809"/>
      <c r="J38" s="809"/>
      <c r="K38" s="809"/>
      <c r="L38" s="809"/>
    </row>
    <row r="39" spans="1:12">
      <c r="A39" s="809"/>
      <c r="B39" s="809"/>
      <c r="C39" s="809"/>
      <c r="D39" s="809"/>
      <c r="E39" s="809"/>
      <c r="F39" s="809"/>
      <c r="G39" s="809"/>
      <c r="H39" s="809"/>
      <c r="I39" s="809"/>
      <c r="J39" s="809"/>
      <c r="K39" s="809"/>
      <c r="L39" s="809"/>
    </row>
    <row r="40" spans="1:12">
      <c r="A40" s="809"/>
      <c r="B40" s="809"/>
      <c r="C40" s="809"/>
      <c r="D40" s="809"/>
      <c r="E40" s="809"/>
      <c r="F40" s="809"/>
      <c r="G40" s="809"/>
      <c r="H40" s="809"/>
      <c r="I40" s="809"/>
      <c r="J40" s="809"/>
      <c r="K40" s="809"/>
      <c r="L40" s="809"/>
    </row>
    <row r="41" spans="1:12">
      <c r="A41" s="809"/>
      <c r="B41" s="809"/>
      <c r="C41" s="809"/>
      <c r="D41" s="809"/>
      <c r="E41" s="809"/>
      <c r="F41" s="809"/>
      <c r="G41" s="809"/>
      <c r="H41" s="809"/>
      <c r="I41" s="809"/>
      <c r="J41" s="809"/>
      <c r="K41" s="809"/>
      <c r="L41" s="809"/>
    </row>
    <row r="42" spans="1:12">
      <c r="A42" s="809"/>
      <c r="B42" s="809"/>
      <c r="C42" s="809"/>
      <c r="D42" s="809"/>
      <c r="E42" s="809"/>
      <c r="F42" s="809"/>
      <c r="G42" s="809"/>
      <c r="H42" s="809"/>
      <c r="I42" s="809"/>
      <c r="J42" s="809"/>
      <c r="K42" s="809"/>
      <c r="L42" s="809"/>
    </row>
    <row r="43" spans="1:12">
      <c r="A43" s="809"/>
      <c r="B43" s="809"/>
      <c r="C43" s="809"/>
      <c r="D43" s="809"/>
      <c r="E43" s="809"/>
      <c r="F43" s="809"/>
      <c r="G43" s="809"/>
      <c r="H43" s="809"/>
      <c r="I43" s="809"/>
      <c r="J43" s="809"/>
      <c r="K43" s="809"/>
      <c r="L43" s="809"/>
    </row>
    <row r="44" spans="1:12">
      <c r="A44" s="809"/>
      <c r="B44" s="809"/>
      <c r="C44" s="809"/>
      <c r="D44" s="809"/>
      <c r="E44" s="809"/>
      <c r="F44" s="809"/>
      <c r="G44" s="809"/>
      <c r="H44" s="809"/>
      <c r="I44" s="809"/>
      <c r="J44" s="809"/>
      <c r="K44" s="809"/>
      <c r="L44" s="809"/>
    </row>
    <row r="45" spans="1:12">
      <c r="A45" s="809"/>
      <c r="B45" s="809"/>
      <c r="C45" s="809"/>
      <c r="D45" s="809"/>
      <c r="E45" s="809"/>
      <c r="F45" s="809"/>
      <c r="G45" s="809"/>
      <c r="H45" s="809"/>
      <c r="I45" s="809"/>
      <c r="J45" s="809"/>
      <c r="K45" s="809"/>
      <c r="L45" s="809"/>
    </row>
    <row r="46" spans="1:12">
      <c r="A46" s="809"/>
      <c r="B46" s="809"/>
      <c r="C46" s="809"/>
      <c r="D46" s="809"/>
      <c r="E46" s="809"/>
      <c r="F46" s="809"/>
      <c r="G46" s="809"/>
      <c r="H46" s="809"/>
      <c r="I46" s="809"/>
      <c r="J46" s="809"/>
      <c r="K46" s="809"/>
      <c r="L46" s="809"/>
    </row>
    <row r="47" spans="1:12">
      <c r="A47" s="809"/>
      <c r="B47" s="809"/>
      <c r="C47" s="809"/>
      <c r="D47" s="809"/>
      <c r="E47" s="809"/>
      <c r="F47" s="809"/>
      <c r="G47" s="809"/>
      <c r="H47" s="809"/>
      <c r="I47" s="809"/>
      <c r="J47" s="809"/>
      <c r="K47" s="809"/>
      <c r="L47" s="809"/>
    </row>
    <row r="48" spans="1:12">
      <c r="A48" s="809"/>
      <c r="B48" s="809"/>
      <c r="C48" s="809"/>
      <c r="D48" s="809"/>
      <c r="E48" s="809"/>
      <c r="F48" s="809"/>
      <c r="G48" s="809"/>
      <c r="H48" s="809"/>
      <c r="I48" s="809"/>
      <c r="J48" s="809"/>
      <c r="K48" s="809"/>
      <c r="L48" s="809"/>
    </row>
    <row r="49" spans="1:12">
      <c r="A49" s="809"/>
      <c r="B49" s="809"/>
      <c r="C49" s="809"/>
      <c r="D49" s="809"/>
      <c r="E49" s="809"/>
      <c r="F49" s="809"/>
      <c r="G49" s="809"/>
      <c r="H49" s="809"/>
      <c r="I49" s="809"/>
      <c r="J49" s="809"/>
      <c r="K49" s="809"/>
      <c r="L49" s="809"/>
    </row>
    <row r="50" spans="1:12">
      <c r="A50" s="809"/>
      <c r="B50" s="809"/>
      <c r="C50" s="809"/>
      <c r="D50" s="809"/>
      <c r="E50" s="809"/>
      <c r="F50" s="809"/>
      <c r="G50" s="809"/>
      <c r="H50" s="809"/>
      <c r="I50" s="809"/>
      <c r="J50" s="809"/>
      <c r="K50" s="809"/>
      <c r="L50" s="809"/>
    </row>
    <row r="51" spans="1:12">
      <c r="A51" s="809"/>
      <c r="B51" s="809"/>
      <c r="C51" s="809"/>
      <c r="D51" s="809"/>
      <c r="E51" s="809"/>
      <c r="F51" s="809"/>
      <c r="G51" s="809"/>
      <c r="H51" s="809"/>
      <c r="I51" s="809"/>
      <c r="J51" s="809"/>
      <c r="K51" s="809"/>
      <c r="L51" s="809"/>
    </row>
    <row r="52" spans="1:12">
      <c r="A52" s="809"/>
      <c r="B52" s="809"/>
      <c r="C52" s="809"/>
      <c r="D52" s="809"/>
      <c r="E52" s="809"/>
      <c r="F52" s="809"/>
      <c r="G52" s="809"/>
      <c r="H52" s="809"/>
      <c r="I52" s="809"/>
      <c r="J52" s="809"/>
      <c r="K52" s="809"/>
      <c r="L52" s="809"/>
    </row>
    <row r="53" spans="1:12">
      <c r="A53" s="809"/>
      <c r="B53" s="809"/>
      <c r="C53" s="809"/>
      <c r="D53" s="809"/>
      <c r="E53" s="809"/>
      <c r="F53" s="809"/>
      <c r="G53" s="809"/>
      <c r="H53" s="809"/>
      <c r="I53" s="809"/>
      <c r="J53" s="809"/>
      <c r="K53" s="809"/>
      <c r="L53" s="809"/>
    </row>
    <row r="54" spans="1:12">
      <c r="A54" s="809"/>
      <c r="B54" s="809"/>
      <c r="C54" s="809"/>
      <c r="D54" s="809"/>
      <c r="E54" s="809"/>
      <c r="F54" s="809"/>
      <c r="G54" s="809"/>
      <c r="H54" s="809"/>
      <c r="I54" s="809"/>
      <c r="J54" s="809"/>
      <c r="K54" s="809"/>
      <c r="L54" s="809"/>
    </row>
    <row r="55" spans="1:12">
      <c r="A55" s="809"/>
      <c r="B55" s="809"/>
      <c r="C55" s="809"/>
      <c r="D55" s="809"/>
      <c r="E55" s="809"/>
      <c r="F55" s="809"/>
      <c r="G55" s="809"/>
      <c r="H55" s="809"/>
      <c r="I55" s="809"/>
      <c r="J55" s="809"/>
      <c r="K55" s="809"/>
      <c r="L55" s="809"/>
    </row>
    <row r="56" spans="1:12">
      <c r="A56" s="809"/>
      <c r="B56" s="809"/>
      <c r="C56" s="809"/>
      <c r="D56" s="809"/>
      <c r="E56" s="809"/>
      <c r="F56" s="809"/>
      <c r="G56" s="809"/>
      <c r="H56" s="809"/>
      <c r="I56" s="809"/>
      <c r="J56" s="809"/>
      <c r="K56" s="809"/>
      <c r="L56" s="809"/>
    </row>
    <row r="57" spans="1:12">
      <c r="A57" s="809"/>
      <c r="B57" s="809"/>
      <c r="C57" s="809"/>
      <c r="D57" s="809"/>
      <c r="E57" s="809"/>
      <c r="F57" s="809"/>
      <c r="G57" s="809"/>
      <c r="H57" s="809"/>
      <c r="I57" s="809"/>
      <c r="J57" s="809"/>
      <c r="K57" s="809"/>
      <c r="L57" s="809"/>
    </row>
    <row r="58" spans="1:12">
      <c r="A58" s="809"/>
      <c r="B58" s="809"/>
      <c r="C58" s="809"/>
      <c r="D58" s="809"/>
      <c r="E58" s="809"/>
      <c r="F58" s="809"/>
      <c r="G58" s="809"/>
      <c r="H58" s="809"/>
      <c r="I58" s="809"/>
      <c r="J58" s="809"/>
      <c r="K58" s="809"/>
      <c r="L58" s="809"/>
    </row>
    <row r="59" spans="1:12">
      <c r="A59" s="809"/>
      <c r="B59" s="809"/>
      <c r="C59" s="809"/>
      <c r="D59" s="809"/>
      <c r="E59" s="809"/>
      <c r="F59" s="809"/>
      <c r="G59" s="809"/>
      <c r="H59" s="809"/>
      <c r="I59" s="809"/>
      <c r="J59" s="809"/>
      <c r="K59" s="809"/>
      <c r="L59" s="809"/>
    </row>
    <row r="60" spans="1:12">
      <c r="A60" s="809"/>
      <c r="B60" s="809"/>
      <c r="C60" s="809"/>
      <c r="D60" s="809"/>
      <c r="E60" s="809"/>
      <c r="F60" s="809"/>
      <c r="G60" s="809"/>
      <c r="H60" s="809"/>
      <c r="I60" s="809"/>
      <c r="J60" s="809"/>
      <c r="K60" s="809"/>
      <c r="L60" s="809"/>
    </row>
    <row r="61" spans="1:12">
      <c r="A61" s="809"/>
      <c r="B61" s="809"/>
      <c r="C61" s="809"/>
      <c r="D61" s="809"/>
      <c r="E61" s="809"/>
      <c r="F61" s="809"/>
      <c r="G61" s="809"/>
      <c r="H61" s="809"/>
      <c r="I61" s="809"/>
      <c r="J61" s="809"/>
      <c r="K61" s="809"/>
      <c r="L61" s="809"/>
    </row>
    <row r="62" spans="1:12">
      <c r="A62" s="809"/>
      <c r="B62" s="809"/>
      <c r="C62" s="809"/>
      <c r="D62" s="809"/>
      <c r="E62" s="809"/>
      <c r="F62" s="809"/>
      <c r="G62" s="809"/>
      <c r="H62" s="809"/>
      <c r="I62" s="809"/>
      <c r="J62" s="809"/>
      <c r="K62" s="809"/>
      <c r="L62" s="809"/>
    </row>
    <row r="63" spans="1:12">
      <c r="A63" s="809"/>
      <c r="B63" s="809"/>
      <c r="C63" s="809"/>
      <c r="D63" s="809"/>
      <c r="E63" s="809"/>
      <c r="F63" s="809"/>
      <c r="G63" s="809"/>
      <c r="H63" s="809"/>
      <c r="I63" s="809"/>
      <c r="J63" s="809"/>
      <c r="K63" s="809"/>
      <c r="L63" s="809"/>
    </row>
    <row r="64" spans="1:12">
      <c r="A64" s="809"/>
      <c r="B64" s="809"/>
      <c r="C64" s="809"/>
      <c r="D64" s="809"/>
      <c r="E64" s="809"/>
      <c r="F64" s="809"/>
      <c r="G64" s="809"/>
      <c r="H64" s="809"/>
      <c r="I64" s="809"/>
      <c r="J64" s="809"/>
      <c r="K64" s="809"/>
      <c r="L64" s="809"/>
    </row>
    <row r="65" spans="1:12">
      <c r="A65" s="809"/>
      <c r="B65" s="809"/>
      <c r="C65" s="809"/>
      <c r="D65" s="809"/>
      <c r="E65" s="809"/>
      <c r="F65" s="809"/>
      <c r="G65" s="809"/>
      <c r="H65" s="809"/>
      <c r="I65" s="809"/>
      <c r="J65" s="809"/>
      <c r="K65" s="809"/>
      <c r="L65" s="809"/>
    </row>
    <row r="66" spans="1:12">
      <c r="A66" s="809"/>
      <c r="B66" s="809"/>
      <c r="C66" s="809"/>
      <c r="D66" s="809"/>
      <c r="E66" s="809"/>
      <c r="F66" s="809"/>
      <c r="G66" s="809"/>
      <c r="H66" s="809"/>
      <c r="I66" s="809"/>
      <c r="J66" s="809"/>
      <c r="K66" s="809"/>
      <c r="L66" s="809"/>
    </row>
    <row r="67" spans="1:12">
      <c r="A67" s="809"/>
      <c r="B67" s="809"/>
      <c r="C67" s="809"/>
      <c r="D67" s="809"/>
      <c r="E67" s="809"/>
      <c r="F67" s="809"/>
      <c r="G67" s="809"/>
      <c r="H67" s="809"/>
      <c r="I67" s="809"/>
      <c r="J67" s="809"/>
      <c r="K67" s="809"/>
      <c r="L67" s="809"/>
    </row>
    <row r="68" spans="1:12">
      <c r="A68" s="809"/>
      <c r="B68" s="809"/>
      <c r="C68" s="809"/>
      <c r="D68" s="809"/>
      <c r="E68" s="809"/>
      <c r="F68" s="809"/>
      <c r="G68" s="809"/>
      <c r="H68" s="809"/>
      <c r="I68" s="809"/>
      <c r="J68" s="809"/>
      <c r="K68" s="809"/>
      <c r="L68" s="809"/>
    </row>
    <row r="69" spans="1:12">
      <c r="A69" s="809"/>
      <c r="B69" s="809"/>
      <c r="C69" s="809"/>
      <c r="D69" s="809"/>
      <c r="E69" s="809"/>
      <c r="F69" s="809"/>
      <c r="G69" s="809"/>
      <c r="H69" s="809"/>
      <c r="I69" s="809"/>
      <c r="J69" s="809"/>
      <c r="K69" s="809"/>
      <c r="L69" s="809"/>
    </row>
    <row r="70" spans="1:12">
      <c r="A70" s="809"/>
      <c r="B70" s="809"/>
      <c r="D70" s="809"/>
      <c r="E70" s="809"/>
      <c r="F70" s="809"/>
      <c r="G70" s="809"/>
      <c r="H70" s="809"/>
      <c r="I70" s="809"/>
      <c r="J70" s="809"/>
      <c r="K70" s="809"/>
      <c r="L70" s="809"/>
    </row>
    <row r="71" spans="1:12">
      <c r="A71" s="809"/>
      <c r="B71" s="809"/>
      <c r="D71" s="809"/>
      <c r="E71" s="809"/>
      <c r="F71" s="809"/>
      <c r="G71" s="809"/>
      <c r="H71" s="809"/>
      <c r="I71" s="809"/>
      <c r="J71" s="809"/>
      <c r="K71" s="809"/>
      <c r="L71" s="809"/>
    </row>
  </sheetData>
  <mergeCells count="6">
    <mergeCell ref="J2:K4"/>
    <mergeCell ref="A2:A5"/>
    <mergeCell ref="B2:C4"/>
    <mergeCell ref="D2:E4"/>
    <mergeCell ref="F2:G4"/>
    <mergeCell ref="H2:I4"/>
  </mergeCells>
  <phoneticPr fontId="4"/>
  <pageMargins left="0.78700000000000003" right="0.78700000000000003" top="0.98399999999999999" bottom="0.98399999999999999" header="0.51200000000000001" footer="0.51200000000000001"/>
  <pageSetup paperSize="9" scale="90"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AAD5-1D27-487E-8510-ABAE69FF3F6A}">
  <sheetPr codeName="Sheet56">
    <pageSetUpPr fitToPage="1"/>
  </sheetPr>
  <dimension ref="A1:K29"/>
  <sheetViews>
    <sheetView workbookViewId="0">
      <pane ySplit="4" topLeftCell="A5" activePane="bottomLeft" state="frozen"/>
      <selection pane="bottomLeft"/>
    </sheetView>
  </sheetViews>
  <sheetFormatPr defaultRowHeight="10.8"/>
  <cols>
    <col min="1" max="1" width="11" style="839" customWidth="1"/>
    <col min="2" max="3" width="6.69921875" style="812" customWidth="1"/>
    <col min="4" max="4" width="9.59765625" style="812" customWidth="1"/>
    <col min="5" max="11" width="6.69921875" style="812" customWidth="1"/>
    <col min="12" max="256" width="9" style="812"/>
    <col min="257" max="257" width="11" style="812" customWidth="1"/>
    <col min="258" max="259" width="6.69921875" style="812" customWidth="1"/>
    <col min="260" max="260" width="9.59765625" style="812" customWidth="1"/>
    <col min="261" max="267" width="6.69921875" style="812" customWidth="1"/>
    <col min="268" max="512" width="9" style="812"/>
    <col min="513" max="513" width="11" style="812" customWidth="1"/>
    <col min="514" max="515" width="6.69921875" style="812" customWidth="1"/>
    <col min="516" max="516" width="9.59765625" style="812" customWidth="1"/>
    <col min="517" max="523" width="6.69921875" style="812" customWidth="1"/>
    <col min="524" max="768" width="9" style="812"/>
    <col min="769" max="769" width="11" style="812" customWidth="1"/>
    <col min="770" max="771" width="6.69921875" style="812" customWidth="1"/>
    <col min="772" max="772" width="9.59765625" style="812" customWidth="1"/>
    <col min="773" max="779" width="6.69921875" style="812" customWidth="1"/>
    <col min="780" max="1024" width="9" style="812"/>
    <col min="1025" max="1025" width="11" style="812" customWidth="1"/>
    <col min="1026" max="1027" width="6.69921875" style="812" customWidth="1"/>
    <col min="1028" max="1028" width="9.59765625" style="812" customWidth="1"/>
    <col min="1029" max="1035" width="6.69921875" style="812" customWidth="1"/>
    <col min="1036" max="1280" width="9" style="812"/>
    <col min="1281" max="1281" width="11" style="812" customWidth="1"/>
    <col min="1282" max="1283" width="6.69921875" style="812" customWidth="1"/>
    <col min="1284" max="1284" width="9.59765625" style="812" customWidth="1"/>
    <col min="1285" max="1291" width="6.69921875" style="812" customWidth="1"/>
    <col min="1292" max="1536" width="9" style="812"/>
    <col min="1537" max="1537" width="11" style="812" customWidth="1"/>
    <col min="1538" max="1539" width="6.69921875" style="812" customWidth="1"/>
    <col min="1540" max="1540" width="9.59765625" style="812" customWidth="1"/>
    <col min="1541" max="1547" width="6.69921875" style="812" customWidth="1"/>
    <col min="1548" max="1792" width="9" style="812"/>
    <col min="1793" max="1793" width="11" style="812" customWidth="1"/>
    <col min="1794" max="1795" width="6.69921875" style="812" customWidth="1"/>
    <col min="1796" max="1796" width="9.59765625" style="812" customWidth="1"/>
    <col min="1797" max="1803" width="6.69921875" style="812" customWidth="1"/>
    <col min="1804" max="2048" width="9" style="812"/>
    <col min="2049" max="2049" width="11" style="812" customWidth="1"/>
    <col min="2050" max="2051" width="6.69921875" style="812" customWidth="1"/>
    <col min="2052" max="2052" width="9.59765625" style="812" customWidth="1"/>
    <col min="2053" max="2059" width="6.69921875" style="812" customWidth="1"/>
    <col min="2060" max="2304" width="9" style="812"/>
    <col min="2305" max="2305" width="11" style="812" customWidth="1"/>
    <col min="2306" max="2307" width="6.69921875" style="812" customWidth="1"/>
    <col min="2308" max="2308" width="9.59765625" style="812" customWidth="1"/>
    <col min="2309" max="2315" width="6.69921875" style="812" customWidth="1"/>
    <col min="2316" max="2560" width="9" style="812"/>
    <col min="2561" max="2561" width="11" style="812" customWidth="1"/>
    <col min="2562" max="2563" width="6.69921875" style="812" customWidth="1"/>
    <col min="2564" max="2564" width="9.59765625" style="812" customWidth="1"/>
    <col min="2565" max="2571" width="6.69921875" style="812" customWidth="1"/>
    <col min="2572" max="2816" width="9" style="812"/>
    <col min="2817" max="2817" width="11" style="812" customWidth="1"/>
    <col min="2818" max="2819" width="6.69921875" style="812" customWidth="1"/>
    <col min="2820" max="2820" width="9.59765625" style="812" customWidth="1"/>
    <col min="2821" max="2827" width="6.69921875" style="812" customWidth="1"/>
    <col min="2828" max="3072" width="9" style="812"/>
    <col min="3073" max="3073" width="11" style="812" customWidth="1"/>
    <col min="3074" max="3075" width="6.69921875" style="812" customWidth="1"/>
    <col min="3076" max="3076" width="9.59765625" style="812" customWidth="1"/>
    <col min="3077" max="3083" width="6.69921875" style="812" customWidth="1"/>
    <col min="3084" max="3328" width="9" style="812"/>
    <col min="3329" max="3329" width="11" style="812" customWidth="1"/>
    <col min="3330" max="3331" width="6.69921875" style="812" customWidth="1"/>
    <col min="3332" max="3332" width="9.59765625" style="812" customWidth="1"/>
    <col min="3333" max="3339" width="6.69921875" style="812" customWidth="1"/>
    <col min="3340" max="3584" width="9" style="812"/>
    <col min="3585" max="3585" width="11" style="812" customWidth="1"/>
    <col min="3586" max="3587" width="6.69921875" style="812" customWidth="1"/>
    <col min="3588" max="3588" width="9.59765625" style="812" customWidth="1"/>
    <col min="3589" max="3595" width="6.69921875" style="812" customWidth="1"/>
    <col min="3596" max="3840" width="9" style="812"/>
    <col min="3841" max="3841" width="11" style="812" customWidth="1"/>
    <col min="3842" max="3843" width="6.69921875" style="812" customWidth="1"/>
    <col min="3844" max="3844" width="9.59765625" style="812" customWidth="1"/>
    <col min="3845" max="3851" width="6.69921875" style="812" customWidth="1"/>
    <col min="3852" max="4096" width="9" style="812"/>
    <col min="4097" max="4097" width="11" style="812" customWidth="1"/>
    <col min="4098" max="4099" width="6.69921875" style="812" customWidth="1"/>
    <col min="4100" max="4100" width="9.59765625" style="812" customWidth="1"/>
    <col min="4101" max="4107" width="6.69921875" style="812" customWidth="1"/>
    <col min="4108" max="4352" width="9" style="812"/>
    <col min="4353" max="4353" width="11" style="812" customWidth="1"/>
    <col min="4354" max="4355" width="6.69921875" style="812" customWidth="1"/>
    <col min="4356" max="4356" width="9.59765625" style="812" customWidth="1"/>
    <col min="4357" max="4363" width="6.69921875" style="812" customWidth="1"/>
    <col min="4364" max="4608" width="9" style="812"/>
    <col min="4609" max="4609" width="11" style="812" customWidth="1"/>
    <col min="4610" max="4611" width="6.69921875" style="812" customWidth="1"/>
    <col min="4612" max="4612" width="9.59765625" style="812" customWidth="1"/>
    <col min="4613" max="4619" width="6.69921875" style="812" customWidth="1"/>
    <col min="4620" max="4864" width="9" style="812"/>
    <col min="4865" max="4865" width="11" style="812" customWidth="1"/>
    <col min="4866" max="4867" width="6.69921875" style="812" customWidth="1"/>
    <col min="4868" max="4868" width="9.59765625" style="812" customWidth="1"/>
    <col min="4869" max="4875" width="6.69921875" style="812" customWidth="1"/>
    <col min="4876" max="5120" width="9" style="812"/>
    <col min="5121" max="5121" width="11" style="812" customWidth="1"/>
    <col min="5122" max="5123" width="6.69921875" style="812" customWidth="1"/>
    <col min="5124" max="5124" width="9.59765625" style="812" customWidth="1"/>
    <col min="5125" max="5131" width="6.69921875" style="812" customWidth="1"/>
    <col min="5132" max="5376" width="9" style="812"/>
    <col min="5377" max="5377" width="11" style="812" customWidth="1"/>
    <col min="5378" max="5379" width="6.69921875" style="812" customWidth="1"/>
    <col min="5380" max="5380" width="9.59765625" style="812" customWidth="1"/>
    <col min="5381" max="5387" width="6.69921875" style="812" customWidth="1"/>
    <col min="5388" max="5632" width="9" style="812"/>
    <col min="5633" max="5633" width="11" style="812" customWidth="1"/>
    <col min="5634" max="5635" width="6.69921875" style="812" customWidth="1"/>
    <col min="5636" max="5636" width="9.59765625" style="812" customWidth="1"/>
    <col min="5637" max="5643" width="6.69921875" style="812" customWidth="1"/>
    <col min="5644" max="5888" width="9" style="812"/>
    <col min="5889" max="5889" width="11" style="812" customWidth="1"/>
    <col min="5890" max="5891" width="6.69921875" style="812" customWidth="1"/>
    <col min="5892" max="5892" width="9.59765625" style="812" customWidth="1"/>
    <col min="5893" max="5899" width="6.69921875" style="812" customWidth="1"/>
    <col min="5900" max="6144" width="9" style="812"/>
    <col min="6145" max="6145" width="11" style="812" customWidth="1"/>
    <col min="6146" max="6147" width="6.69921875" style="812" customWidth="1"/>
    <col min="6148" max="6148" width="9.59765625" style="812" customWidth="1"/>
    <col min="6149" max="6155" width="6.69921875" style="812" customWidth="1"/>
    <col min="6156" max="6400" width="9" style="812"/>
    <col min="6401" max="6401" width="11" style="812" customWidth="1"/>
    <col min="6402" max="6403" width="6.69921875" style="812" customWidth="1"/>
    <col min="6404" max="6404" width="9.59765625" style="812" customWidth="1"/>
    <col min="6405" max="6411" width="6.69921875" style="812" customWidth="1"/>
    <col min="6412" max="6656" width="9" style="812"/>
    <col min="6657" max="6657" width="11" style="812" customWidth="1"/>
    <col min="6658" max="6659" width="6.69921875" style="812" customWidth="1"/>
    <col min="6660" max="6660" width="9.59765625" style="812" customWidth="1"/>
    <col min="6661" max="6667" width="6.69921875" style="812" customWidth="1"/>
    <col min="6668" max="6912" width="9" style="812"/>
    <col min="6913" max="6913" width="11" style="812" customWidth="1"/>
    <col min="6914" max="6915" width="6.69921875" style="812" customWidth="1"/>
    <col min="6916" max="6916" width="9.59765625" style="812" customWidth="1"/>
    <col min="6917" max="6923" width="6.69921875" style="812" customWidth="1"/>
    <col min="6924" max="7168" width="9" style="812"/>
    <col min="7169" max="7169" width="11" style="812" customWidth="1"/>
    <col min="7170" max="7171" width="6.69921875" style="812" customWidth="1"/>
    <col min="7172" max="7172" width="9.59765625" style="812" customWidth="1"/>
    <col min="7173" max="7179" width="6.69921875" style="812" customWidth="1"/>
    <col min="7180" max="7424" width="9" style="812"/>
    <col min="7425" max="7425" width="11" style="812" customWidth="1"/>
    <col min="7426" max="7427" width="6.69921875" style="812" customWidth="1"/>
    <col min="7428" max="7428" width="9.59765625" style="812" customWidth="1"/>
    <col min="7429" max="7435" width="6.69921875" style="812" customWidth="1"/>
    <col min="7436" max="7680" width="9" style="812"/>
    <col min="7681" max="7681" width="11" style="812" customWidth="1"/>
    <col min="7682" max="7683" width="6.69921875" style="812" customWidth="1"/>
    <col min="7684" max="7684" width="9.59765625" style="812" customWidth="1"/>
    <col min="7685" max="7691" width="6.69921875" style="812" customWidth="1"/>
    <col min="7692" max="7936" width="9" style="812"/>
    <col min="7937" max="7937" width="11" style="812" customWidth="1"/>
    <col min="7938" max="7939" width="6.69921875" style="812" customWidth="1"/>
    <col min="7940" max="7940" width="9.59765625" style="812" customWidth="1"/>
    <col min="7941" max="7947" width="6.69921875" style="812" customWidth="1"/>
    <col min="7948" max="8192" width="9" style="812"/>
    <col min="8193" max="8193" width="11" style="812" customWidth="1"/>
    <col min="8194" max="8195" width="6.69921875" style="812" customWidth="1"/>
    <col min="8196" max="8196" width="9.59765625" style="812" customWidth="1"/>
    <col min="8197" max="8203" width="6.69921875" style="812" customWidth="1"/>
    <col min="8204" max="8448" width="9" style="812"/>
    <col min="8449" max="8449" width="11" style="812" customWidth="1"/>
    <col min="8450" max="8451" width="6.69921875" style="812" customWidth="1"/>
    <col min="8452" max="8452" width="9.59765625" style="812" customWidth="1"/>
    <col min="8453" max="8459" width="6.69921875" style="812" customWidth="1"/>
    <col min="8460" max="8704" width="9" style="812"/>
    <col min="8705" max="8705" width="11" style="812" customWidth="1"/>
    <col min="8706" max="8707" width="6.69921875" style="812" customWidth="1"/>
    <col min="8708" max="8708" width="9.59765625" style="812" customWidth="1"/>
    <col min="8709" max="8715" width="6.69921875" style="812" customWidth="1"/>
    <col min="8716" max="8960" width="9" style="812"/>
    <col min="8961" max="8961" width="11" style="812" customWidth="1"/>
    <col min="8962" max="8963" width="6.69921875" style="812" customWidth="1"/>
    <col min="8964" max="8964" width="9.59765625" style="812" customWidth="1"/>
    <col min="8965" max="8971" width="6.69921875" style="812" customWidth="1"/>
    <col min="8972" max="9216" width="9" style="812"/>
    <col min="9217" max="9217" width="11" style="812" customWidth="1"/>
    <col min="9218" max="9219" width="6.69921875" style="812" customWidth="1"/>
    <col min="9220" max="9220" width="9.59765625" style="812" customWidth="1"/>
    <col min="9221" max="9227" width="6.69921875" style="812" customWidth="1"/>
    <col min="9228" max="9472" width="9" style="812"/>
    <col min="9473" max="9473" width="11" style="812" customWidth="1"/>
    <col min="9474" max="9475" width="6.69921875" style="812" customWidth="1"/>
    <col min="9476" max="9476" width="9.59765625" style="812" customWidth="1"/>
    <col min="9477" max="9483" width="6.69921875" style="812" customWidth="1"/>
    <col min="9484" max="9728" width="9" style="812"/>
    <col min="9729" max="9729" width="11" style="812" customWidth="1"/>
    <col min="9730" max="9731" width="6.69921875" style="812" customWidth="1"/>
    <col min="9732" max="9732" width="9.59765625" style="812" customWidth="1"/>
    <col min="9733" max="9739" width="6.69921875" style="812" customWidth="1"/>
    <col min="9740" max="9984" width="9" style="812"/>
    <col min="9985" max="9985" width="11" style="812" customWidth="1"/>
    <col min="9986" max="9987" width="6.69921875" style="812" customWidth="1"/>
    <col min="9988" max="9988" width="9.59765625" style="812" customWidth="1"/>
    <col min="9989" max="9995" width="6.69921875" style="812" customWidth="1"/>
    <col min="9996" max="10240" width="9" style="812"/>
    <col min="10241" max="10241" width="11" style="812" customWidth="1"/>
    <col min="10242" max="10243" width="6.69921875" style="812" customWidth="1"/>
    <col min="10244" max="10244" width="9.59765625" style="812" customWidth="1"/>
    <col min="10245" max="10251" width="6.69921875" style="812" customWidth="1"/>
    <col min="10252" max="10496" width="9" style="812"/>
    <col min="10497" max="10497" width="11" style="812" customWidth="1"/>
    <col min="10498" max="10499" width="6.69921875" style="812" customWidth="1"/>
    <col min="10500" max="10500" width="9.59765625" style="812" customWidth="1"/>
    <col min="10501" max="10507" width="6.69921875" style="812" customWidth="1"/>
    <col min="10508" max="10752" width="9" style="812"/>
    <col min="10753" max="10753" width="11" style="812" customWidth="1"/>
    <col min="10754" max="10755" width="6.69921875" style="812" customWidth="1"/>
    <col min="10756" max="10756" width="9.59765625" style="812" customWidth="1"/>
    <col min="10757" max="10763" width="6.69921875" style="812" customWidth="1"/>
    <col min="10764" max="11008" width="9" style="812"/>
    <col min="11009" max="11009" width="11" style="812" customWidth="1"/>
    <col min="11010" max="11011" width="6.69921875" style="812" customWidth="1"/>
    <col min="11012" max="11012" width="9.59765625" style="812" customWidth="1"/>
    <col min="11013" max="11019" width="6.69921875" style="812" customWidth="1"/>
    <col min="11020" max="11264" width="9" style="812"/>
    <col min="11265" max="11265" width="11" style="812" customWidth="1"/>
    <col min="11266" max="11267" width="6.69921875" style="812" customWidth="1"/>
    <col min="11268" max="11268" width="9.59765625" style="812" customWidth="1"/>
    <col min="11269" max="11275" width="6.69921875" style="812" customWidth="1"/>
    <col min="11276" max="11520" width="9" style="812"/>
    <col min="11521" max="11521" width="11" style="812" customWidth="1"/>
    <col min="11522" max="11523" width="6.69921875" style="812" customWidth="1"/>
    <col min="11524" max="11524" width="9.59765625" style="812" customWidth="1"/>
    <col min="11525" max="11531" width="6.69921875" style="812" customWidth="1"/>
    <col min="11532" max="11776" width="9" style="812"/>
    <col min="11777" max="11777" width="11" style="812" customWidth="1"/>
    <col min="11778" max="11779" width="6.69921875" style="812" customWidth="1"/>
    <col min="11780" max="11780" width="9.59765625" style="812" customWidth="1"/>
    <col min="11781" max="11787" width="6.69921875" style="812" customWidth="1"/>
    <col min="11788" max="12032" width="9" style="812"/>
    <col min="12033" max="12033" width="11" style="812" customWidth="1"/>
    <col min="12034" max="12035" width="6.69921875" style="812" customWidth="1"/>
    <col min="12036" max="12036" width="9.59765625" style="812" customWidth="1"/>
    <col min="12037" max="12043" width="6.69921875" style="812" customWidth="1"/>
    <col min="12044" max="12288" width="9" style="812"/>
    <col min="12289" max="12289" width="11" style="812" customWidth="1"/>
    <col min="12290" max="12291" width="6.69921875" style="812" customWidth="1"/>
    <col min="12292" max="12292" width="9.59765625" style="812" customWidth="1"/>
    <col min="12293" max="12299" width="6.69921875" style="812" customWidth="1"/>
    <col min="12300" max="12544" width="9" style="812"/>
    <col min="12545" max="12545" width="11" style="812" customWidth="1"/>
    <col min="12546" max="12547" width="6.69921875" style="812" customWidth="1"/>
    <col min="12548" max="12548" width="9.59765625" style="812" customWidth="1"/>
    <col min="12549" max="12555" width="6.69921875" style="812" customWidth="1"/>
    <col min="12556" max="12800" width="9" style="812"/>
    <col min="12801" max="12801" width="11" style="812" customWidth="1"/>
    <col min="12802" max="12803" width="6.69921875" style="812" customWidth="1"/>
    <col min="12804" max="12804" width="9.59765625" style="812" customWidth="1"/>
    <col min="12805" max="12811" width="6.69921875" style="812" customWidth="1"/>
    <col min="12812" max="13056" width="9" style="812"/>
    <col min="13057" max="13057" width="11" style="812" customWidth="1"/>
    <col min="13058" max="13059" width="6.69921875" style="812" customWidth="1"/>
    <col min="13060" max="13060" width="9.59765625" style="812" customWidth="1"/>
    <col min="13061" max="13067" width="6.69921875" style="812" customWidth="1"/>
    <col min="13068" max="13312" width="9" style="812"/>
    <col min="13313" max="13313" width="11" style="812" customWidth="1"/>
    <col min="13314" max="13315" width="6.69921875" style="812" customWidth="1"/>
    <col min="13316" max="13316" width="9.59765625" style="812" customWidth="1"/>
    <col min="13317" max="13323" width="6.69921875" style="812" customWidth="1"/>
    <col min="13324" max="13568" width="9" style="812"/>
    <col min="13569" max="13569" width="11" style="812" customWidth="1"/>
    <col min="13570" max="13571" width="6.69921875" style="812" customWidth="1"/>
    <col min="13572" max="13572" width="9.59765625" style="812" customWidth="1"/>
    <col min="13573" max="13579" width="6.69921875" style="812" customWidth="1"/>
    <col min="13580" max="13824" width="9" style="812"/>
    <col min="13825" max="13825" width="11" style="812" customWidth="1"/>
    <col min="13826" max="13827" width="6.69921875" style="812" customWidth="1"/>
    <col min="13828" max="13828" width="9.59765625" style="812" customWidth="1"/>
    <col min="13829" max="13835" width="6.69921875" style="812" customWidth="1"/>
    <col min="13836" max="14080" width="9" style="812"/>
    <col min="14081" max="14081" width="11" style="812" customWidth="1"/>
    <col min="14082" max="14083" width="6.69921875" style="812" customWidth="1"/>
    <col min="14084" max="14084" width="9.59765625" style="812" customWidth="1"/>
    <col min="14085" max="14091" width="6.69921875" style="812" customWidth="1"/>
    <col min="14092" max="14336" width="9" style="812"/>
    <col min="14337" max="14337" width="11" style="812" customWidth="1"/>
    <col min="14338" max="14339" width="6.69921875" style="812" customWidth="1"/>
    <col min="14340" max="14340" width="9.59765625" style="812" customWidth="1"/>
    <col min="14341" max="14347" width="6.69921875" style="812" customWidth="1"/>
    <col min="14348" max="14592" width="9" style="812"/>
    <col min="14593" max="14593" width="11" style="812" customWidth="1"/>
    <col min="14594" max="14595" width="6.69921875" style="812" customWidth="1"/>
    <col min="14596" max="14596" width="9.59765625" style="812" customWidth="1"/>
    <col min="14597" max="14603" width="6.69921875" style="812" customWidth="1"/>
    <col min="14604" max="14848" width="9" style="812"/>
    <col min="14849" max="14849" width="11" style="812" customWidth="1"/>
    <col min="14850" max="14851" width="6.69921875" style="812" customWidth="1"/>
    <col min="14852" max="14852" width="9.59765625" style="812" customWidth="1"/>
    <col min="14853" max="14859" width="6.69921875" style="812" customWidth="1"/>
    <col min="14860" max="15104" width="9" style="812"/>
    <col min="15105" max="15105" width="11" style="812" customWidth="1"/>
    <col min="15106" max="15107" width="6.69921875" style="812" customWidth="1"/>
    <col min="15108" max="15108" width="9.59765625" style="812" customWidth="1"/>
    <col min="15109" max="15115" width="6.69921875" style="812" customWidth="1"/>
    <col min="15116" max="15360" width="9" style="812"/>
    <col min="15361" max="15361" width="11" style="812" customWidth="1"/>
    <col min="15362" max="15363" width="6.69921875" style="812" customWidth="1"/>
    <col min="15364" max="15364" width="9.59765625" style="812" customWidth="1"/>
    <col min="15365" max="15371" width="6.69921875" style="812" customWidth="1"/>
    <col min="15372" max="15616" width="9" style="812"/>
    <col min="15617" max="15617" width="11" style="812" customWidth="1"/>
    <col min="15618" max="15619" width="6.69921875" style="812" customWidth="1"/>
    <col min="15620" max="15620" width="9.59765625" style="812" customWidth="1"/>
    <col min="15621" max="15627" width="6.69921875" style="812" customWidth="1"/>
    <col min="15628" max="15872" width="9" style="812"/>
    <col min="15873" max="15873" width="11" style="812" customWidth="1"/>
    <col min="15874" max="15875" width="6.69921875" style="812" customWidth="1"/>
    <col min="15876" max="15876" width="9.59765625" style="812" customWidth="1"/>
    <col min="15877" max="15883" width="6.69921875" style="812" customWidth="1"/>
    <col min="15884" max="16128" width="9" style="812"/>
    <col min="16129" max="16129" width="11" style="812" customWidth="1"/>
    <col min="16130" max="16131" width="6.69921875" style="812" customWidth="1"/>
    <col min="16132" max="16132" width="9.59765625" style="812" customWidth="1"/>
    <col min="16133" max="16139" width="6.69921875" style="812" customWidth="1"/>
    <col min="16140" max="16384" width="9" style="812"/>
  </cols>
  <sheetData>
    <row r="1" spans="1:11" ht="30" customHeight="1" thickBot="1">
      <c r="A1" s="811" t="s">
        <v>1578</v>
      </c>
    </row>
    <row r="2" spans="1:11" s="813" customFormat="1" ht="45" customHeight="1">
      <c r="A2" s="2630" t="s">
        <v>1562</v>
      </c>
      <c r="B2" s="2632" t="s">
        <v>1579</v>
      </c>
      <c r="C2" s="2633"/>
      <c r="D2" s="2634"/>
      <c r="E2" s="2633" t="s">
        <v>1563</v>
      </c>
      <c r="F2" s="2634"/>
      <c r="G2" s="2632" t="s">
        <v>1564</v>
      </c>
      <c r="H2" s="2634"/>
      <c r="I2" s="2632" t="s">
        <v>1565</v>
      </c>
      <c r="J2" s="2633"/>
      <c r="K2" s="2633"/>
    </row>
    <row r="3" spans="1:11" s="813" customFormat="1" ht="28.8">
      <c r="A3" s="2631"/>
      <c r="B3" s="814" t="s">
        <v>1566</v>
      </c>
      <c r="C3" s="815" t="s">
        <v>1567</v>
      </c>
      <c r="D3" s="815" t="s">
        <v>1568</v>
      </c>
      <c r="E3" s="816" t="s">
        <v>1580</v>
      </c>
      <c r="F3" s="816" t="s">
        <v>1581</v>
      </c>
      <c r="G3" s="816" t="s">
        <v>1569</v>
      </c>
      <c r="H3" s="816" t="s">
        <v>1570</v>
      </c>
      <c r="I3" s="815" t="s">
        <v>279</v>
      </c>
      <c r="J3" s="816" t="s">
        <v>1571</v>
      </c>
      <c r="K3" s="817" t="s">
        <v>1572</v>
      </c>
    </row>
    <row r="4" spans="1:11" s="813" customFormat="1" ht="20.25" customHeight="1">
      <c r="A4" s="818"/>
      <c r="B4" s="818"/>
      <c r="C4" s="819" t="s">
        <v>1573</v>
      </c>
      <c r="D4" s="820" t="s">
        <v>1574</v>
      </c>
      <c r="E4" s="820" t="s">
        <v>166</v>
      </c>
      <c r="F4" s="821" t="s">
        <v>1575</v>
      </c>
      <c r="G4" s="818" t="s">
        <v>1573</v>
      </c>
      <c r="H4" s="822" t="s">
        <v>1576</v>
      </c>
      <c r="I4" s="820" t="s">
        <v>229</v>
      </c>
      <c r="J4" s="823" t="s">
        <v>229</v>
      </c>
      <c r="K4" s="824" t="s">
        <v>229</v>
      </c>
    </row>
    <row r="5" spans="1:11" s="813" customFormat="1" ht="20.25" customHeight="1">
      <c r="A5" s="818" t="s">
        <v>1069</v>
      </c>
      <c r="B5" s="825">
        <v>50</v>
      </c>
      <c r="C5" s="826">
        <v>3074</v>
      </c>
      <c r="D5" s="827">
        <v>4811042</v>
      </c>
      <c r="E5" s="827">
        <v>790</v>
      </c>
      <c r="F5" s="826">
        <v>1003</v>
      </c>
      <c r="G5" s="825">
        <v>92</v>
      </c>
      <c r="H5" s="827">
        <v>3984.5</v>
      </c>
      <c r="I5" s="827">
        <v>34</v>
      </c>
      <c r="J5" s="827">
        <v>26</v>
      </c>
      <c r="K5" s="828">
        <v>8</v>
      </c>
    </row>
    <row r="6" spans="1:11" s="813" customFormat="1" ht="20.25" customHeight="1">
      <c r="A6" s="818">
        <v>16</v>
      </c>
      <c r="B6" s="825">
        <v>43</v>
      </c>
      <c r="C6" s="826">
        <v>2705</v>
      </c>
      <c r="D6" s="827">
        <v>4448760</v>
      </c>
      <c r="E6" s="827">
        <v>760</v>
      </c>
      <c r="F6" s="826">
        <v>991</v>
      </c>
      <c r="G6" s="825">
        <v>90</v>
      </c>
      <c r="H6" s="827">
        <v>3746</v>
      </c>
      <c r="I6" s="827">
        <v>33</v>
      </c>
      <c r="J6" s="827">
        <v>25</v>
      </c>
      <c r="K6" s="828">
        <v>8</v>
      </c>
    </row>
    <row r="7" spans="1:11" s="813" customFormat="1" ht="20.25" customHeight="1">
      <c r="A7" s="818">
        <v>17</v>
      </c>
      <c r="B7" s="825">
        <v>31</v>
      </c>
      <c r="C7" s="826">
        <v>2158</v>
      </c>
      <c r="D7" s="827">
        <v>3184620</v>
      </c>
      <c r="E7" s="827">
        <v>764</v>
      </c>
      <c r="F7" s="826">
        <v>926</v>
      </c>
      <c r="G7" s="825">
        <v>72</v>
      </c>
      <c r="H7" s="827">
        <v>2905</v>
      </c>
      <c r="I7" s="827">
        <v>31</v>
      </c>
      <c r="J7" s="827">
        <v>24</v>
      </c>
      <c r="K7" s="828">
        <v>7</v>
      </c>
    </row>
    <row r="8" spans="1:11" s="813" customFormat="1" ht="20.25" customHeight="1">
      <c r="A8" s="818">
        <v>18</v>
      </c>
      <c r="B8" s="825">
        <v>44</v>
      </c>
      <c r="C8" s="826">
        <v>2572</v>
      </c>
      <c r="D8" s="827">
        <v>3705480</v>
      </c>
      <c r="E8" s="827">
        <v>803</v>
      </c>
      <c r="F8" s="826">
        <v>928</v>
      </c>
      <c r="G8" s="825">
        <v>45</v>
      </c>
      <c r="H8" s="827">
        <v>2667</v>
      </c>
      <c r="I8" s="827">
        <v>30</v>
      </c>
      <c r="J8" s="827">
        <v>25</v>
      </c>
      <c r="K8" s="828">
        <v>5</v>
      </c>
    </row>
    <row r="9" spans="1:11" s="813" customFormat="1" ht="20.25" customHeight="1">
      <c r="A9" s="818">
        <v>19</v>
      </c>
      <c r="B9" s="825">
        <v>44</v>
      </c>
      <c r="C9" s="826">
        <v>2475</v>
      </c>
      <c r="D9" s="827">
        <v>3627550</v>
      </c>
      <c r="E9" s="827">
        <v>851</v>
      </c>
      <c r="F9" s="826">
        <v>930</v>
      </c>
      <c r="G9" s="825">
        <v>22</v>
      </c>
      <c r="H9" s="827">
        <v>1132</v>
      </c>
      <c r="I9" s="827">
        <v>30</v>
      </c>
      <c r="J9" s="827">
        <v>25</v>
      </c>
      <c r="K9" s="828">
        <v>5</v>
      </c>
    </row>
    <row r="10" spans="1:11" s="813" customFormat="1" ht="20.25" customHeight="1">
      <c r="A10" s="818">
        <v>20</v>
      </c>
      <c r="B10" s="825">
        <v>43</v>
      </c>
      <c r="C10" s="826">
        <v>2447</v>
      </c>
      <c r="D10" s="827">
        <v>3607830</v>
      </c>
      <c r="E10" s="827">
        <v>864</v>
      </c>
      <c r="F10" s="826">
        <v>941</v>
      </c>
      <c r="G10" s="825">
        <v>23</v>
      </c>
      <c r="H10" s="827">
        <v>1183</v>
      </c>
      <c r="I10" s="827">
        <v>32</v>
      </c>
      <c r="J10" s="827">
        <v>25</v>
      </c>
      <c r="K10" s="828">
        <v>7</v>
      </c>
    </row>
    <row r="11" spans="1:11" s="813" customFormat="1" ht="20.25" customHeight="1">
      <c r="A11" s="818">
        <v>21</v>
      </c>
      <c r="B11" s="825">
        <v>40</v>
      </c>
      <c r="C11" s="826">
        <v>2370</v>
      </c>
      <c r="D11" s="827">
        <v>3523900</v>
      </c>
      <c r="E11" s="827">
        <v>859</v>
      </c>
      <c r="F11" s="826">
        <v>943</v>
      </c>
      <c r="G11" s="825">
        <v>18</v>
      </c>
      <c r="H11" s="827">
        <v>1047</v>
      </c>
      <c r="I11" s="827">
        <v>34</v>
      </c>
      <c r="J11" s="827">
        <v>25</v>
      </c>
      <c r="K11" s="828">
        <v>9</v>
      </c>
    </row>
    <row r="12" spans="1:11" ht="20.25" customHeight="1">
      <c r="A12" s="818">
        <v>22</v>
      </c>
      <c r="B12" s="826">
        <v>39</v>
      </c>
      <c r="C12" s="826">
        <v>2370</v>
      </c>
      <c r="D12" s="826">
        <v>3473700</v>
      </c>
      <c r="E12" s="826">
        <v>859</v>
      </c>
      <c r="F12" s="826">
        <v>943</v>
      </c>
      <c r="G12" s="825">
        <v>18</v>
      </c>
      <c r="H12" s="826">
        <v>1047</v>
      </c>
      <c r="I12" s="826">
        <v>32</v>
      </c>
      <c r="J12" s="826">
        <v>25</v>
      </c>
      <c r="K12" s="829">
        <v>7</v>
      </c>
    </row>
    <row r="13" spans="1:11" ht="20.25" customHeight="1">
      <c r="A13" s="818">
        <v>23</v>
      </c>
      <c r="B13" s="826">
        <v>37</v>
      </c>
      <c r="C13" s="826">
        <v>2238</v>
      </c>
      <c r="D13" s="826">
        <v>3390620</v>
      </c>
      <c r="E13" s="826">
        <v>877</v>
      </c>
      <c r="F13" s="826">
        <v>964</v>
      </c>
      <c r="G13" s="825">
        <v>16</v>
      </c>
      <c r="H13" s="826">
        <v>1021</v>
      </c>
      <c r="I13" s="826">
        <v>36</v>
      </c>
      <c r="J13" s="826">
        <v>28</v>
      </c>
      <c r="K13" s="829">
        <v>8</v>
      </c>
    </row>
    <row r="14" spans="1:11" ht="20.25" customHeight="1">
      <c r="A14" s="818">
        <v>24</v>
      </c>
      <c r="B14" s="826">
        <v>37</v>
      </c>
      <c r="C14" s="826">
        <v>2184</v>
      </c>
      <c r="D14" s="826">
        <v>3320360</v>
      </c>
      <c r="E14" s="826">
        <v>1008</v>
      </c>
      <c r="F14" s="826">
        <v>1221</v>
      </c>
      <c r="G14" s="825">
        <v>14</v>
      </c>
      <c r="H14" s="826">
        <v>726</v>
      </c>
      <c r="I14" s="826">
        <v>35</v>
      </c>
      <c r="J14" s="826">
        <v>28</v>
      </c>
      <c r="K14" s="829">
        <v>7</v>
      </c>
    </row>
    <row r="15" spans="1:11" ht="20.25" customHeight="1">
      <c r="A15" s="818">
        <v>25</v>
      </c>
      <c r="B15" s="826">
        <v>35</v>
      </c>
      <c r="C15" s="826">
        <v>1971</v>
      </c>
      <c r="D15" s="826">
        <v>3036790</v>
      </c>
      <c r="E15" s="826">
        <v>1368</v>
      </c>
      <c r="F15" s="826">
        <v>1530</v>
      </c>
      <c r="G15" s="825">
        <v>12</v>
      </c>
      <c r="H15" s="826">
        <v>541</v>
      </c>
      <c r="I15" s="826">
        <v>37</v>
      </c>
      <c r="J15" s="826">
        <v>30</v>
      </c>
      <c r="K15" s="829">
        <v>7</v>
      </c>
    </row>
    <row r="16" spans="1:11" ht="20.25" customHeight="1">
      <c r="A16" s="818">
        <v>26</v>
      </c>
      <c r="B16" s="826">
        <v>34</v>
      </c>
      <c r="C16" s="826">
        <v>1947</v>
      </c>
      <c r="D16" s="826">
        <v>2912030</v>
      </c>
      <c r="E16" s="826">
        <v>1475</v>
      </c>
      <c r="F16" s="826">
        <v>1594</v>
      </c>
      <c r="G16" s="825">
        <v>13</v>
      </c>
      <c r="H16" s="826">
        <v>553</v>
      </c>
      <c r="I16" s="826">
        <v>37</v>
      </c>
      <c r="J16" s="826">
        <v>30</v>
      </c>
      <c r="K16" s="829">
        <v>7</v>
      </c>
    </row>
    <row r="17" spans="1:11" ht="20.25" customHeight="1">
      <c r="A17" s="818">
        <v>27</v>
      </c>
      <c r="B17" s="826">
        <v>31</v>
      </c>
      <c r="C17" s="826">
        <v>1849</v>
      </c>
      <c r="D17" s="826">
        <v>2728010</v>
      </c>
      <c r="E17" s="826">
        <v>1816</v>
      </c>
      <c r="F17" s="826">
        <v>1682</v>
      </c>
      <c r="G17" s="825">
        <v>11</v>
      </c>
      <c r="H17" s="826">
        <v>390</v>
      </c>
      <c r="I17" s="826">
        <v>37</v>
      </c>
      <c r="J17" s="826">
        <v>30</v>
      </c>
      <c r="K17" s="829">
        <v>7</v>
      </c>
    </row>
    <row r="18" spans="1:11" ht="20.25" customHeight="1">
      <c r="A18" s="830">
        <v>28</v>
      </c>
      <c r="B18" s="826">
        <v>30</v>
      </c>
      <c r="C18" s="826">
        <v>1791</v>
      </c>
      <c r="D18" s="826">
        <v>2597590</v>
      </c>
      <c r="E18" s="826">
        <v>1872</v>
      </c>
      <c r="F18" s="826">
        <v>1642</v>
      </c>
      <c r="G18" s="825">
        <v>9</v>
      </c>
      <c r="H18" s="826">
        <v>339</v>
      </c>
      <c r="I18" s="826">
        <v>34</v>
      </c>
      <c r="J18" s="826">
        <v>28</v>
      </c>
      <c r="K18" s="829">
        <v>6</v>
      </c>
    </row>
    <row r="19" spans="1:11" ht="20.25" customHeight="1">
      <c r="A19" s="830">
        <v>29</v>
      </c>
      <c r="B19" s="826">
        <v>28</v>
      </c>
      <c r="C19" s="826">
        <v>1575</v>
      </c>
      <c r="D19" s="826">
        <v>2453750</v>
      </c>
      <c r="E19" s="826">
        <v>1919</v>
      </c>
      <c r="F19" s="826">
        <v>1684</v>
      </c>
      <c r="G19" s="831" t="s">
        <v>345</v>
      </c>
      <c r="H19" s="832" t="s">
        <v>345</v>
      </c>
      <c r="I19" s="826">
        <v>30</v>
      </c>
      <c r="J19" s="826">
        <v>26</v>
      </c>
      <c r="K19" s="829">
        <v>4</v>
      </c>
    </row>
    <row r="20" spans="1:11" ht="20.25" customHeight="1">
      <c r="A20" s="830">
        <v>30</v>
      </c>
      <c r="B20" s="826">
        <v>27</v>
      </c>
      <c r="C20" s="826">
        <v>1434</v>
      </c>
      <c r="D20" s="826">
        <v>2329660</v>
      </c>
      <c r="E20" s="826">
        <v>1965</v>
      </c>
      <c r="F20" s="826">
        <v>1733</v>
      </c>
      <c r="G20" s="831" t="s">
        <v>345</v>
      </c>
      <c r="H20" s="832" t="s">
        <v>345</v>
      </c>
      <c r="I20" s="826">
        <v>29</v>
      </c>
      <c r="J20" s="826">
        <v>25</v>
      </c>
      <c r="K20" s="829">
        <v>4</v>
      </c>
    </row>
    <row r="21" spans="1:11" ht="20.25" customHeight="1">
      <c r="A21" s="830">
        <v>31</v>
      </c>
      <c r="B21" s="826">
        <v>25</v>
      </c>
      <c r="C21" s="826">
        <v>1434</v>
      </c>
      <c r="D21" s="826">
        <v>2098450</v>
      </c>
      <c r="E21" s="826">
        <v>2004</v>
      </c>
      <c r="F21" s="826">
        <v>1825</v>
      </c>
      <c r="G21" s="831" t="s">
        <v>345</v>
      </c>
      <c r="H21" s="832" t="s">
        <v>345</v>
      </c>
      <c r="I21" s="826">
        <v>28</v>
      </c>
      <c r="J21" s="826">
        <v>26</v>
      </c>
      <c r="K21" s="829">
        <v>2</v>
      </c>
    </row>
    <row r="22" spans="1:11" ht="20.25" customHeight="1">
      <c r="A22" s="830" t="s">
        <v>43</v>
      </c>
      <c r="B22" s="826">
        <v>25</v>
      </c>
      <c r="C22" s="826">
        <v>1147</v>
      </c>
      <c r="D22" s="826">
        <v>1987030</v>
      </c>
      <c r="E22" s="826">
        <v>2121</v>
      </c>
      <c r="F22" s="826">
        <v>1865</v>
      </c>
      <c r="G22" s="831" t="s">
        <v>345</v>
      </c>
      <c r="H22" s="832" t="s">
        <v>345</v>
      </c>
      <c r="I22" s="826">
        <v>30</v>
      </c>
      <c r="J22" s="826">
        <v>28</v>
      </c>
      <c r="K22" s="829">
        <v>2</v>
      </c>
    </row>
    <row r="23" spans="1:11" ht="20.25" customHeight="1">
      <c r="A23" s="830">
        <v>3</v>
      </c>
      <c r="B23" s="826">
        <v>22</v>
      </c>
      <c r="C23" s="826">
        <v>1036</v>
      </c>
      <c r="D23" s="826">
        <v>1856640</v>
      </c>
      <c r="E23" s="826">
        <v>2484</v>
      </c>
      <c r="F23" s="826">
        <v>1881</v>
      </c>
      <c r="G23" s="831" t="s">
        <v>345</v>
      </c>
      <c r="H23" s="832" t="s">
        <v>345</v>
      </c>
      <c r="I23" s="826">
        <v>31</v>
      </c>
      <c r="J23" s="826">
        <v>29</v>
      </c>
      <c r="K23" s="829">
        <v>2</v>
      </c>
    </row>
    <row r="24" spans="1:11" ht="20.25" customHeight="1">
      <c r="A24" s="830">
        <v>4</v>
      </c>
      <c r="B24" s="826">
        <v>21</v>
      </c>
      <c r="C24" s="826">
        <v>959</v>
      </c>
      <c r="D24" s="826">
        <v>1786510</v>
      </c>
      <c r="E24" s="826">
        <v>2515</v>
      </c>
      <c r="F24" s="826">
        <v>1916</v>
      </c>
      <c r="G24" s="831" t="s">
        <v>345</v>
      </c>
      <c r="H24" s="832" t="s">
        <v>345</v>
      </c>
      <c r="I24" s="826">
        <v>29</v>
      </c>
      <c r="J24" s="826">
        <v>27</v>
      </c>
      <c r="K24" s="829">
        <v>2</v>
      </c>
    </row>
    <row r="25" spans="1:11" ht="20.25" customHeight="1">
      <c r="A25" s="830">
        <v>5</v>
      </c>
      <c r="B25" s="826">
        <v>18</v>
      </c>
      <c r="C25" s="826">
        <v>780</v>
      </c>
      <c r="D25" s="826">
        <v>1605620</v>
      </c>
      <c r="E25" s="826">
        <v>2545</v>
      </c>
      <c r="F25" s="826">
        <v>1914</v>
      </c>
      <c r="G25" s="831" t="s">
        <v>345</v>
      </c>
      <c r="H25" s="832" t="s">
        <v>345</v>
      </c>
      <c r="I25" s="826">
        <v>31</v>
      </c>
      <c r="J25" s="826">
        <v>30</v>
      </c>
      <c r="K25" s="829">
        <v>1</v>
      </c>
    </row>
    <row r="26" spans="1:11" ht="20.25" customHeight="1" thickBot="1">
      <c r="A26" s="833"/>
      <c r="B26" s="834"/>
      <c r="C26" s="834"/>
      <c r="D26" s="834"/>
      <c r="E26" s="834"/>
      <c r="F26" s="834"/>
      <c r="G26" s="835"/>
      <c r="H26" s="836"/>
      <c r="I26" s="834"/>
      <c r="J26" s="834"/>
      <c r="K26" s="837"/>
    </row>
    <row r="27" spans="1:11" ht="20.25" customHeight="1">
      <c r="A27" s="838" t="s">
        <v>1577</v>
      </c>
    </row>
    <row r="28" spans="1:11" ht="20.25" customHeight="1"/>
    <row r="29" spans="1:11" ht="20.25" customHeight="1"/>
  </sheetData>
  <mergeCells count="5">
    <mergeCell ref="A2:A3"/>
    <mergeCell ref="B2:D2"/>
    <mergeCell ref="E2:F2"/>
    <mergeCell ref="G2:H2"/>
    <mergeCell ref="I2:K2"/>
  </mergeCells>
  <phoneticPr fontId="4"/>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4A8CA-1DBE-4FD9-A4C0-B9A2FF59BAA2}">
  <sheetPr codeName="Sheet57">
    <pageSetUpPr fitToPage="1"/>
  </sheetPr>
  <dimension ref="A1:E25"/>
  <sheetViews>
    <sheetView workbookViewId="0"/>
  </sheetViews>
  <sheetFormatPr defaultColWidth="9" defaultRowHeight="10.8"/>
  <cols>
    <col min="1" max="1" width="10.59765625" style="134" customWidth="1"/>
    <col min="2" max="5" width="16.09765625" style="134" customWidth="1"/>
    <col min="6" max="16384" width="9" style="11"/>
  </cols>
  <sheetData>
    <row r="1" spans="1:5" ht="30" customHeight="1" thickBot="1">
      <c r="A1" s="539" t="s">
        <v>1582</v>
      </c>
    </row>
    <row r="2" spans="1:5" ht="22.5" customHeight="1">
      <c r="A2" s="2635" t="s">
        <v>1583</v>
      </c>
      <c r="B2" s="2636" t="s">
        <v>1584</v>
      </c>
      <c r="C2" s="2636"/>
      <c r="D2" s="2636"/>
      <c r="E2" s="2637" t="s">
        <v>1585</v>
      </c>
    </row>
    <row r="3" spans="1:5" ht="22.5" customHeight="1">
      <c r="A3" s="2335"/>
      <c r="B3" s="136" t="s">
        <v>1586</v>
      </c>
      <c r="C3" s="2639" t="s">
        <v>1587</v>
      </c>
      <c r="D3" s="2639"/>
      <c r="E3" s="2638"/>
    </row>
    <row r="4" spans="1:5" ht="22.5" customHeight="1">
      <c r="A4" s="143"/>
      <c r="B4" s="840"/>
      <c r="C4" s="841" t="s">
        <v>230</v>
      </c>
      <c r="D4" s="842" t="s">
        <v>229</v>
      </c>
      <c r="E4" s="843" t="s">
        <v>229</v>
      </c>
    </row>
    <row r="5" spans="1:5" ht="22.5" customHeight="1">
      <c r="A5" s="597" t="s">
        <v>1588</v>
      </c>
      <c r="B5" s="844">
        <v>30141</v>
      </c>
      <c r="C5" s="844">
        <v>2116</v>
      </c>
      <c r="D5" s="845">
        <v>23686</v>
      </c>
      <c r="E5" s="846">
        <v>3379</v>
      </c>
    </row>
    <row r="6" spans="1:5" ht="22.5" customHeight="1">
      <c r="A6" s="597">
        <v>21</v>
      </c>
      <c r="B6" s="844">
        <v>28604</v>
      </c>
      <c r="C6" s="844">
        <v>2043</v>
      </c>
      <c r="D6" s="845">
        <v>22731</v>
      </c>
      <c r="E6" s="846">
        <v>4501</v>
      </c>
    </row>
    <row r="7" spans="1:5" ht="22.5" customHeight="1">
      <c r="A7" s="597">
        <v>22</v>
      </c>
      <c r="B7" s="844">
        <v>27875</v>
      </c>
      <c r="C7" s="844">
        <v>2013</v>
      </c>
      <c r="D7" s="845">
        <v>19628</v>
      </c>
      <c r="E7" s="846">
        <v>4992</v>
      </c>
    </row>
    <row r="8" spans="1:5" ht="22.5" customHeight="1">
      <c r="A8" s="597">
        <v>23</v>
      </c>
      <c r="B8" s="844">
        <v>30164</v>
      </c>
      <c r="C8" s="844">
        <v>2267</v>
      </c>
      <c r="D8" s="845">
        <v>19545</v>
      </c>
      <c r="E8" s="846">
        <v>5587</v>
      </c>
    </row>
    <row r="9" spans="1:5" ht="22.5" customHeight="1">
      <c r="A9" s="597">
        <v>24</v>
      </c>
      <c r="B9" s="844">
        <v>32032</v>
      </c>
      <c r="C9" s="844">
        <v>2260</v>
      </c>
      <c r="D9" s="845">
        <v>20554</v>
      </c>
      <c r="E9" s="846">
        <v>6465</v>
      </c>
    </row>
    <row r="10" spans="1:5" ht="22.5" customHeight="1">
      <c r="A10" s="597">
        <v>25</v>
      </c>
      <c r="B10" s="844">
        <v>31752</v>
      </c>
      <c r="C10" s="844">
        <v>2268</v>
      </c>
      <c r="D10" s="845">
        <v>19979</v>
      </c>
      <c r="E10" s="846">
        <v>6051</v>
      </c>
    </row>
    <row r="11" spans="1:5" ht="22.5" customHeight="1">
      <c r="A11" s="597">
        <v>26</v>
      </c>
      <c r="B11" s="844">
        <v>29302</v>
      </c>
      <c r="C11" s="844">
        <v>1988</v>
      </c>
      <c r="D11" s="845">
        <v>20293</v>
      </c>
      <c r="E11" s="846">
        <v>6554</v>
      </c>
    </row>
    <row r="12" spans="1:5" ht="22.5" customHeight="1">
      <c r="A12" s="597">
        <v>27</v>
      </c>
      <c r="B12" s="844">
        <v>29356</v>
      </c>
      <c r="C12" s="844">
        <v>2042</v>
      </c>
      <c r="D12" s="845">
        <v>19306</v>
      </c>
      <c r="E12" s="846">
        <v>7123</v>
      </c>
    </row>
    <row r="13" spans="1:5" ht="22.5" customHeight="1">
      <c r="A13" s="597">
        <v>28</v>
      </c>
      <c r="B13" s="844">
        <v>31306</v>
      </c>
      <c r="C13" s="844">
        <v>2108</v>
      </c>
      <c r="D13" s="845">
        <v>20938</v>
      </c>
      <c r="E13" s="846">
        <v>7837</v>
      </c>
    </row>
    <row r="14" spans="1:5" ht="22.5" customHeight="1">
      <c r="A14" s="597">
        <v>29</v>
      </c>
      <c r="B14" s="844">
        <v>30530</v>
      </c>
      <c r="C14" s="844">
        <v>1939</v>
      </c>
      <c r="D14" s="845">
        <v>18103</v>
      </c>
      <c r="E14" s="846">
        <v>4836</v>
      </c>
    </row>
    <row r="15" spans="1:5" ht="22.5" customHeight="1">
      <c r="A15" s="597">
        <v>30</v>
      </c>
      <c r="B15" s="844">
        <v>28486</v>
      </c>
      <c r="C15" s="844">
        <v>1894</v>
      </c>
      <c r="D15" s="845">
        <v>17311</v>
      </c>
      <c r="E15" s="846">
        <v>6517</v>
      </c>
    </row>
    <row r="16" spans="1:5" ht="22.5" customHeight="1">
      <c r="A16" s="597">
        <v>31</v>
      </c>
      <c r="B16" s="844">
        <v>28942</v>
      </c>
      <c r="C16" s="844">
        <v>1926</v>
      </c>
      <c r="D16" s="845">
        <v>15774</v>
      </c>
      <c r="E16" s="846">
        <v>6854</v>
      </c>
    </row>
    <row r="17" spans="1:5" ht="22.5" customHeight="1">
      <c r="A17" s="597" t="s">
        <v>1059</v>
      </c>
      <c r="B17" s="844">
        <v>26068</v>
      </c>
      <c r="C17" s="844">
        <v>1459</v>
      </c>
      <c r="D17" s="845">
        <v>9253</v>
      </c>
      <c r="E17" s="846">
        <v>5674</v>
      </c>
    </row>
    <row r="18" spans="1:5" ht="22.5" customHeight="1">
      <c r="A18" s="597">
        <v>3</v>
      </c>
      <c r="B18" s="844">
        <v>25318</v>
      </c>
      <c r="C18" s="844">
        <v>1472</v>
      </c>
      <c r="D18" s="845">
        <v>8474</v>
      </c>
      <c r="E18" s="846">
        <v>6075</v>
      </c>
    </row>
    <row r="19" spans="1:5" ht="22.5" customHeight="1">
      <c r="A19" s="597">
        <v>4</v>
      </c>
      <c r="B19" s="844">
        <v>25647</v>
      </c>
      <c r="C19" s="844">
        <v>1982</v>
      </c>
      <c r="D19" s="845">
        <v>12880</v>
      </c>
      <c r="E19" s="846">
        <v>6107</v>
      </c>
    </row>
    <row r="20" spans="1:5" ht="22.5" customHeight="1">
      <c r="A20" s="597">
        <v>5</v>
      </c>
      <c r="B20" s="844">
        <v>28254</v>
      </c>
      <c r="C20" s="844">
        <v>1933</v>
      </c>
      <c r="D20" s="845">
        <v>15579</v>
      </c>
      <c r="E20" s="846">
        <v>6744</v>
      </c>
    </row>
    <row r="21" spans="1:5" ht="22.5" customHeight="1" thickBot="1">
      <c r="A21" s="601"/>
      <c r="B21" s="847"/>
      <c r="C21" s="847"/>
      <c r="D21" s="848"/>
      <c r="E21" s="849"/>
    </row>
    <row r="22" spans="1:5" ht="22.5" customHeight="1">
      <c r="A22" s="134" t="s">
        <v>1577</v>
      </c>
    </row>
    <row r="25" spans="1:5">
      <c r="C25" s="812"/>
    </row>
  </sheetData>
  <mergeCells count="4">
    <mergeCell ref="A2:A3"/>
    <mergeCell ref="B2:D2"/>
    <mergeCell ref="E2:E3"/>
    <mergeCell ref="C3:D3"/>
  </mergeCells>
  <phoneticPr fontId="4"/>
  <printOptions horizontalCentered="1"/>
  <pageMargins left="0.82677165354330717" right="0.82677165354330717" top="0.98425196850393704" bottom="0.98425196850393704" header="0.51181102362204722" footer="0.51181102362204722"/>
  <pageSetup paperSize="9"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178E-B53A-41FE-A32D-4F5287321EA6}">
  <sheetPr codeName="Sheet58">
    <pageSetUpPr fitToPage="1"/>
  </sheetPr>
  <dimension ref="A1:R30"/>
  <sheetViews>
    <sheetView zoomScaleNormal="100" workbookViewId="0">
      <pane ySplit="5" topLeftCell="A6" activePane="bottomLeft" state="frozen"/>
      <selection pane="bottomLeft"/>
    </sheetView>
  </sheetViews>
  <sheetFormatPr defaultColWidth="9" defaultRowHeight="13.65" customHeight="1"/>
  <cols>
    <col min="1" max="1" width="8.5" style="11" customWidth="1"/>
    <col min="2" max="2" width="6.59765625" style="11" customWidth="1"/>
    <col min="3" max="10" width="6" style="11" customWidth="1"/>
    <col min="11" max="11" width="13.69921875" style="11" customWidth="1"/>
    <col min="12" max="12" width="5.69921875" style="11" customWidth="1"/>
    <col min="13" max="13" width="6" style="11" customWidth="1"/>
    <col min="14" max="14" width="5.59765625" style="11" customWidth="1"/>
    <col min="15" max="16384" width="9" style="11"/>
  </cols>
  <sheetData>
    <row r="1" spans="1:14" ht="30" customHeight="1" thickBot="1">
      <c r="A1" s="259" t="s">
        <v>1606</v>
      </c>
    </row>
    <row r="2" spans="1:14" ht="19.5" customHeight="1">
      <c r="A2" s="2180" t="s">
        <v>1562</v>
      </c>
      <c r="B2" s="2202" t="s">
        <v>1589</v>
      </c>
      <c r="C2" s="2202" t="s">
        <v>1590</v>
      </c>
      <c r="D2" s="2205" t="s">
        <v>1591</v>
      </c>
      <c r="E2" s="2205" t="s">
        <v>1592</v>
      </c>
      <c r="F2" s="2205" t="s">
        <v>1593</v>
      </c>
      <c r="G2" s="2205" t="s">
        <v>1594</v>
      </c>
      <c r="H2" s="2205" t="s">
        <v>1595</v>
      </c>
      <c r="I2" s="2205" t="s">
        <v>1596</v>
      </c>
      <c r="J2" s="2202" t="s">
        <v>1597</v>
      </c>
      <c r="K2" s="2640" t="s">
        <v>2413</v>
      </c>
      <c r="L2" s="2202" t="s">
        <v>1598</v>
      </c>
      <c r="M2" s="2640" t="s">
        <v>1599</v>
      </c>
      <c r="N2" s="2208" t="s">
        <v>1600</v>
      </c>
    </row>
    <row r="3" spans="1:14" ht="19.5" customHeight="1">
      <c r="A3" s="2181"/>
      <c r="B3" s="2198"/>
      <c r="C3" s="2198"/>
      <c r="D3" s="2206"/>
      <c r="E3" s="2206"/>
      <c r="F3" s="2206"/>
      <c r="G3" s="2206"/>
      <c r="H3" s="2206"/>
      <c r="I3" s="2206"/>
      <c r="J3" s="2198"/>
      <c r="K3" s="2643"/>
      <c r="L3" s="2198"/>
      <c r="M3" s="2641"/>
      <c r="N3" s="2282"/>
    </row>
    <row r="4" spans="1:14" ht="19.5" customHeight="1">
      <c r="A4" s="2182"/>
      <c r="B4" s="2193"/>
      <c r="C4" s="2193"/>
      <c r="D4" s="2207"/>
      <c r="E4" s="2207" t="s">
        <v>1601</v>
      </c>
      <c r="F4" s="2207" t="s">
        <v>1602</v>
      </c>
      <c r="G4" s="2207" t="s">
        <v>1603</v>
      </c>
      <c r="H4" s="2207" t="s">
        <v>1602</v>
      </c>
      <c r="I4" s="2207" t="s">
        <v>1603</v>
      </c>
      <c r="J4" s="2193"/>
      <c r="K4" s="2644"/>
      <c r="L4" s="2193"/>
      <c r="M4" s="2642" t="s">
        <v>1603</v>
      </c>
      <c r="N4" s="2536" t="s">
        <v>1604</v>
      </c>
    </row>
    <row r="5" spans="1:14" ht="19.5" customHeight="1">
      <c r="A5" s="243"/>
      <c r="B5" s="86" t="s">
        <v>229</v>
      </c>
      <c r="C5" s="86" t="s">
        <v>229</v>
      </c>
      <c r="D5" s="86" t="s">
        <v>229</v>
      </c>
      <c r="E5" s="86" t="s">
        <v>229</v>
      </c>
      <c r="F5" s="86" t="s">
        <v>229</v>
      </c>
      <c r="G5" s="86" t="s">
        <v>229</v>
      </c>
      <c r="H5" s="86" t="s">
        <v>229</v>
      </c>
      <c r="I5" s="86" t="s">
        <v>229</v>
      </c>
      <c r="J5" s="86" t="s">
        <v>229</v>
      </c>
      <c r="K5" s="86" t="s">
        <v>229</v>
      </c>
      <c r="L5" s="86" t="s">
        <v>229</v>
      </c>
      <c r="M5" s="86" t="s">
        <v>229</v>
      </c>
      <c r="N5" s="39" t="s">
        <v>229</v>
      </c>
    </row>
    <row r="6" spans="1:14" ht="19.5" customHeight="1">
      <c r="A6" s="247" t="s">
        <v>1069</v>
      </c>
      <c r="B6" s="762">
        <v>1332</v>
      </c>
      <c r="C6" s="762">
        <v>113</v>
      </c>
      <c r="D6" s="762">
        <v>123</v>
      </c>
      <c r="E6" s="762">
        <v>17</v>
      </c>
      <c r="F6" s="762">
        <v>43</v>
      </c>
      <c r="G6" s="762">
        <v>193</v>
      </c>
      <c r="H6" s="762">
        <v>14</v>
      </c>
      <c r="I6" s="762">
        <v>294</v>
      </c>
      <c r="J6" s="762">
        <v>210</v>
      </c>
      <c r="K6" s="762">
        <v>272</v>
      </c>
      <c r="L6" s="762">
        <v>8</v>
      </c>
      <c r="M6" s="762">
        <v>45</v>
      </c>
      <c r="N6" s="765" t="s">
        <v>812</v>
      </c>
    </row>
    <row r="7" spans="1:14" ht="19.5" customHeight="1">
      <c r="A7" s="247">
        <v>16</v>
      </c>
      <c r="B7" s="762">
        <v>1381</v>
      </c>
      <c r="C7" s="762">
        <v>115</v>
      </c>
      <c r="D7" s="762">
        <v>131</v>
      </c>
      <c r="E7" s="762">
        <v>17</v>
      </c>
      <c r="F7" s="762">
        <v>42</v>
      </c>
      <c r="G7" s="762">
        <v>202</v>
      </c>
      <c r="H7" s="762">
        <v>13</v>
      </c>
      <c r="I7" s="762">
        <v>308</v>
      </c>
      <c r="J7" s="762">
        <v>209</v>
      </c>
      <c r="K7" s="762">
        <v>291</v>
      </c>
      <c r="L7" s="762">
        <v>7</v>
      </c>
      <c r="M7" s="762">
        <v>45</v>
      </c>
      <c r="N7" s="765">
        <v>1</v>
      </c>
    </row>
    <row r="8" spans="1:14" ht="19.5" customHeight="1">
      <c r="A8" s="247">
        <v>17</v>
      </c>
      <c r="B8" s="762">
        <v>1415</v>
      </c>
      <c r="C8" s="762">
        <v>110</v>
      </c>
      <c r="D8" s="762">
        <v>134</v>
      </c>
      <c r="E8" s="762">
        <v>17</v>
      </c>
      <c r="F8" s="762">
        <v>41</v>
      </c>
      <c r="G8" s="762">
        <v>206</v>
      </c>
      <c r="H8" s="762">
        <v>10</v>
      </c>
      <c r="I8" s="762">
        <v>318</v>
      </c>
      <c r="J8" s="762">
        <v>205</v>
      </c>
      <c r="K8" s="762">
        <v>310</v>
      </c>
      <c r="L8" s="762">
        <v>8</v>
      </c>
      <c r="M8" s="762">
        <v>56</v>
      </c>
      <c r="N8" s="765" t="s">
        <v>812</v>
      </c>
    </row>
    <row r="9" spans="1:14" ht="19.5" customHeight="1">
      <c r="A9" s="247">
        <v>18</v>
      </c>
      <c r="B9" s="762">
        <v>1441</v>
      </c>
      <c r="C9" s="762">
        <v>109</v>
      </c>
      <c r="D9" s="762">
        <v>134</v>
      </c>
      <c r="E9" s="762">
        <v>19</v>
      </c>
      <c r="F9" s="762">
        <v>38</v>
      </c>
      <c r="G9" s="762">
        <v>196</v>
      </c>
      <c r="H9" s="762">
        <v>9</v>
      </c>
      <c r="I9" s="762">
        <v>350</v>
      </c>
      <c r="J9" s="762">
        <v>207</v>
      </c>
      <c r="K9" s="762">
        <v>313</v>
      </c>
      <c r="L9" s="762">
        <v>8</v>
      </c>
      <c r="M9" s="762">
        <v>58</v>
      </c>
      <c r="N9" s="765" t="s">
        <v>812</v>
      </c>
    </row>
    <row r="10" spans="1:14" ht="19.5" customHeight="1">
      <c r="A10" s="247">
        <v>19</v>
      </c>
      <c r="B10" s="762">
        <v>1485</v>
      </c>
      <c r="C10" s="762">
        <v>109</v>
      </c>
      <c r="D10" s="762">
        <v>139</v>
      </c>
      <c r="E10" s="762">
        <v>20</v>
      </c>
      <c r="F10" s="762">
        <v>35</v>
      </c>
      <c r="G10" s="762">
        <v>200</v>
      </c>
      <c r="H10" s="762">
        <v>8</v>
      </c>
      <c r="I10" s="762">
        <v>381</v>
      </c>
      <c r="J10" s="762">
        <v>209</v>
      </c>
      <c r="K10" s="762">
        <v>318</v>
      </c>
      <c r="L10" s="762">
        <v>7</v>
      </c>
      <c r="M10" s="762">
        <v>59</v>
      </c>
      <c r="N10" s="765" t="s">
        <v>812</v>
      </c>
    </row>
    <row r="11" spans="1:14" ht="19.5" customHeight="1">
      <c r="A11" s="247">
        <v>20</v>
      </c>
      <c r="B11" s="762">
        <v>1548</v>
      </c>
      <c r="C11" s="762">
        <v>118</v>
      </c>
      <c r="D11" s="762">
        <v>141</v>
      </c>
      <c r="E11" s="762">
        <v>16</v>
      </c>
      <c r="F11" s="762">
        <v>35</v>
      </c>
      <c r="G11" s="762">
        <v>208</v>
      </c>
      <c r="H11" s="762">
        <v>15</v>
      </c>
      <c r="I11" s="762">
        <v>401</v>
      </c>
      <c r="J11" s="762">
        <v>210</v>
      </c>
      <c r="K11" s="762">
        <v>341</v>
      </c>
      <c r="L11" s="762">
        <v>6</v>
      </c>
      <c r="M11" s="762">
        <v>57</v>
      </c>
      <c r="N11" s="765" t="s">
        <v>812</v>
      </c>
    </row>
    <row r="12" spans="1:14" ht="19.5" customHeight="1">
      <c r="A12" s="247">
        <v>21</v>
      </c>
      <c r="B12" s="762">
        <v>1555</v>
      </c>
      <c r="C12" s="762">
        <v>114</v>
      </c>
      <c r="D12" s="762">
        <v>136</v>
      </c>
      <c r="E12" s="762">
        <v>18</v>
      </c>
      <c r="F12" s="762">
        <v>37</v>
      </c>
      <c r="G12" s="762">
        <v>221</v>
      </c>
      <c r="H12" s="762">
        <v>18</v>
      </c>
      <c r="I12" s="762">
        <v>419</v>
      </c>
      <c r="J12" s="762">
        <v>204</v>
      </c>
      <c r="K12" s="762">
        <v>328</v>
      </c>
      <c r="L12" s="762">
        <v>5</v>
      </c>
      <c r="M12" s="762">
        <v>55</v>
      </c>
      <c r="N12" s="765" t="s">
        <v>812</v>
      </c>
    </row>
    <row r="13" spans="1:14" ht="19.5" customHeight="1">
      <c r="A13" s="247">
        <v>22</v>
      </c>
      <c r="B13" s="682">
        <v>1569</v>
      </c>
      <c r="C13" s="682">
        <v>110</v>
      </c>
      <c r="D13" s="682">
        <v>135</v>
      </c>
      <c r="E13" s="682">
        <v>17</v>
      </c>
      <c r="F13" s="682">
        <v>36</v>
      </c>
      <c r="G13" s="682">
        <v>217</v>
      </c>
      <c r="H13" s="682">
        <v>17</v>
      </c>
      <c r="I13" s="682">
        <v>441</v>
      </c>
      <c r="J13" s="682">
        <v>198</v>
      </c>
      <c r="K13" s="682">
        <v>337</v>
      </c>
      <c r="L13" s="682">
        <v>5</v>
      </c>
      <c r="M13" s="682">
        <v>56</v>
      </c>
      <c r="N13" s="765" t="s">
        <v>812</v>
      </c>
    </row>
    <row r="14" spans="1:14" ht="19.5" customHeight="1">
      <c r="A14" s="247">
        <v>23</v>
      </c>
      <c r="B14" s="682">
        <v>1591</v>
      </c>
      <c r="C14" s="682">
        <v>106</v>
      </c>
      <c r="D14" s="682">
        <v>139</v>
      </c>
      <c r="E14" s="682">
        <v>15</v>
      </c>
      <c r="F14" s="682">
        <v>36</v>
      </c>
      <c r="G14" s="682">
        <v>216</v>
      </c>
      <c r="H14" s="682">
        <v>16</v>
      </c>
      <c r="I14" s="682">
        <v>460</v>
      </c>
      <c r="J14" s="682">
        <v>192</v>
      </c>
      <c r="K14" s="682">
        <v>349</v>
      </c>
      <c r="L14" s="682">
        <v>5</v>
      </c>
      <c r="M14" s="682">
        <v>56</v>
      </c>
      <c r="N14" s="44">
        <v>1</v>
      </c>
    </row>
    <row r="15" spans="1:14" ht="19.5" customHeight="1">
      <c r="A15" s="247">
        <v>24</v>
      </c>
      <c r="B15" s="682">
        <v>1603</v>
      </c>
      <c r="C15" s="682">
        <v>98</v>
      </c>
      <c r="D15" s="682">
        <v>139</v>
      </c>
      <c r="E15" s="682">
        <v>15</v>
      </c>
      <c r="F15" s="682">
        <v>33</v>
      </c>
      <c r="G15" s="682">
        <v>216</v>
      </c>
      <c r="H15" s="682">
        <v>14</v>
      </c>
      <c r="I15" s="682">
        <v>472</v>
      </c>
      <c r="J15" s="682">
        <v>183</v>
      </c>
      <c r="K15" s="682">
        <v>365</v>
      </c>
      <c r="L15" s="682">
        <v>5</v>
      </c>
      <c r="M15" s="682">
        <v>61</v>
      </c>
      <c r="N15" s="44">
        <v>2</v>
      </c>
    </row>
    <row r="16" spans="1:14" ht="19.5" customHeight="1">
      <c r="A16" s="247">
        <v>25</v>
      </c>
      <c r="B16" s="682">
        <v>1608</v>
      </c>
      <c r="C16" s="682">
        <v>93</v>
      </c>
      <c r="D16" s="682">
        <v>138</v>
      </c>
      <c r="E16" s="682">
        <v>14</v>
      </c>
      <c r="F16" s="682">
        <v>32</v>
      </c>
      <c r="G16" s="682">
        <v>215</v>
      </c>
      <c r="H16" s="682">
        <v>16</v>
      </c>
      <c r="I16" s="682">
        <v>478</v>
      </c>
      <c r="J16" s="682">
        <v>169</v>
      </c>
      <c r="K16" s="682">
        <v>383</v>
      </c>
      <c r="L16" s="682">
        <v>5</v>
      </c>
      <c r="M16" s="682">
        <v>63</v>
      </c>
      <c r="N16" s="44">
        <v>2</v>
      </c>
    </row>
    <row r="17" spans="1:18" ht="19.5" customHeight="1">
      <c r="A17" s="247">
        <v>26</v>
      </c>
      <c r="B17" s="682">
        <v>1591</v>
      </c>
      <c r="C17" s="682">
        <v>94</v>
      </c>
      <c r="D17" s="682">
        <v>138</v>
      </c>
      <c r="E17" s="682">
        <v>12</v>
      </c>
      <c r="F17" s="682">
        <v>30</v>
      </c>
      <c r="G17" s="682">
        <v>206</v>
      </c>
      <c r="H17" s="682">
        <v>17</v>
      </c>
      <c r="I17" s="682">
        <v>487</v>
      </c>
      <c r="J17" s="682">
        <v>157</v>
      </c>
      <c r="K17" s="682">
        <v>379</v>
      </c>
      <c r="L17" s="682">
        <v>5</v>
      </c>
      <c r="M17" s="682">
        <v>64</v>
      </c>
      <c r="N17" s="44">
        <v>2</v>
      </c>
    </row>
    <row r="18" spans="1:18" ht="19.5" customHeight="1">
      <c r="A18" s="247">
        <v>27</v>
      </c>
      <c r="B18" s="682">
        <v>1572</v>
      </c>
      <c r="C18" s="682">
        <v>93</v>
      </c>
      <c r="D18" s="682">
        <v>137</v>
      </c>
      <c r="E18" s="682">
        <v>11</v>
      </c>
      <c r="F18" s="682">
        <v>27</v>
      </c>
      <c r="G18" s="682">
        <v>199</v>
      </c>
      <c r="H18" s="682">
        <v>17</v>
      </c>
      <c r="I18" s="682">
        <v>486</v>
      </c>
      <c r="J18" s="682">
        <v>148</v>
      </c>
      <c r="K18" s="682">
        <v>384</v>
      </c>
      <c r="L18" s="682">
        <v>5</v>
      </c>
      <c r="M18" s="682">
        <v>64</v>
      </c>
      <c r="N18" s="44">
        <v>2</v>
      </c>
    </row>
    <row r="19" spans="1:18" ht="19.5" customHeight="1">
      <c r="A19" s="247">
        <v>28</v>
      </c>
      <c r="B19" s="682">
        <v>1541</v>
      </c>
      <c r="C19" s="682">
        <v>95</v>
      </c>
      <c r="D19" s="682">
        <v>139</v>
      </c>
      <c r="E19" s="682">
        <v>11</v>
      </c>
      <c r="F19" s="682">
        <v>24</v>
      </c>
      <c r="G19" s="682">
        <v>193</v>
      </c>
      <c r="H19" s="682">
        <v>15</v>
      </c>
      <c r="I19" s="682">
        <v>476</v>
      </c>
      <c r="J19" s="682">
        <v>145</v>
      </c>
      <c r="K19" s="682">
        <v>378</v>
      </c>
      <c r="L19" s="682">
        <v>4</v>
      </c>
      <c r="M19" s="682">
        <v>59</v>
      </c>
      <c r="N19" s="44">
        <v>2</v>
      </c>
    </row>
    <row r="20" spans="1:18" ht="19.5" customHeight="1">
      <c r="A20" s="247">
        <v>29</v>
      </c>
      <c r="B20" s="682">
        <v>1510</v>
      </c>
      <c r="C20" s="682">
        <v>91</v>
      </c>
      <c r="D20" s="682">
        <v>128</v>
      </c>
      <c r="E20" s="682">
        <v>10</v>
      </c>
      <c r="F20" s="682">
        <v>26</v>
      </c>
      <c r="G20" s="682">
        <v>184</v>
      </c>
      <c r="H20" s="682">
        <v>15</v>
      </c>
      <c r="I20" s="682">
        <v>463</v>
      </c>
      <c r="J20" s="682">
        <v>149</v>
      </c>
      <c r="K20" s="682">
        <v>374</v>
      </c>
      <c r="L20" s="682">
        <v>4</v>
      </c>
      <c r="M20" s="682">
        <v>64</v>
      </c>
      <c r="N20" s="44">
        <v>2</v>
      </c>
    </row>
    <row r="21" spans="1:18" ht="19.5" customHeight="1">
      <c r="A21" s="247">
        <v>30</v>
      </c>
      <c r="B21" s="682">
        <v>1476</v>
      </c>
      <c r="C21" s="682">
        <v>88</v>
      </c>
      <c r="D21" s="682">
        <v>129</v>
      </c>
      <c r="E21" s="682">
        <v>10</v>
      </c>
      <c r="F21" s="682">
        <v>24</v>
      </c>
      <c r="G21" s="682">
        <v>185</v>
      </c>
      <c r="H21" s="682">
        <v>15</v>
      </c>
      <c r="I21" s="682">
        <v>442</v>
      </c>
      <c r="J21" s="682">
        <v>143</v>
      </c>
      <c r="K21" s="682">
        <v>370</v>
      </c>
      <c r="L21" s="682">
        <v>4</v>
      </c>
      <c r="M21" s="682">
        <v>63</v>
      </c>
      <c r="N21" s="44">
        <v>3</v>
      </c>
    </row>
    <row r="22" spans="1:18" ht="19.5" customHeight="1">
      <c r="A22" s="247">
        <v>31</v>
      </c>
      <c r="B22" s="682">
        <v>1466</v>
      </c>
      <c r="C22" s="682">
        <v>84</v>
      </c>
      <c r="D22" s="682">
        <v>113</v>
      </c>
      <c r="E22" s="682">
        <v>11</v>
      </c>
      <c r="F22" s="682">
        <v>22</v>
      </c>
      <c r="G22" s="682">
        <v>187</v>
      </c>
      <c r="H22" s="682">
        <v>16</v>
      </c>
      <c r="I22" s="682">
        <v>441</v>
      </c>
      <c r="J22" s="682">
        <v>142</v>
      </c>
      <c r="K22" s="682">
        <v>378</v>
      </c>
      <c r="L22" s="682">
        <v>4</v>
      </c>
      <c r="M22" s="682">
        <v>65</v>
      </c>
      <c r="N22" s="44">
        <v>3</v>
      </c>
    </row>
    <row r="23" spans="1:18" ht="19.5" customHeight="1">
      <c r="A23" s="247" t="s">
        <v>43</v>
      </c>
      <c r="B23" s="682">
        <v>1411</v>
      </c>
      <c r="C23" s="682">
        <v>80</v>
      </c>
      <c r="D23" s="682">
        <v>107</v>
      </c>
      <c r="E23" s="682">
        <v>8</v>
      </c>
      <c r="F23" s="682">
        <v>19</v>
      </c>
      <c r="G23" s="682">
        <v>177</v>
      </c>
      <c r="H23" s="682">
        <v>14</v>
      </c>
      <c r="I23" s="682">
        <v>418</v>
      </c>
      <c r="J23" s="682">
        <v>133</v>
      </c>
      <c r="K23" s="682">
        <v>382</v>
      </c>
      <c r="L23" s="682">
        <v>4</v>
      </c>
      <c r="M23" s="682">
        <v>66</v>
      </c>
      <c r="N23" s="44">
        <v>3</v>
      </c>
    </row>
    <row r="24" spans="1:18" ht="19.5" customHeight="1">
      <c r="A24" s="247">
        <v>3</v>
      </c>
      <c r="B24" s="682">
        <v>1374</v>
      </c>
      <c r="C24" s="682">
        <v>74</v>
      </c>
      <c r="D24" s="682">
        <v>112</v>
      </c>
      <c r="E24" s="682">
        <v>7</v>
      </c>
      <c r="F24" s="682">
        <v>21</v>
      </c>
      <c r="G24" s="682">
        <v>165</v>
      </c>
      <c r="H24" s="682">
        <v>13</v>
      </c>
      <c r="I24" s="682">
        <v>397</v>
      </c>
      <c r="J24" s="682">
        <v>132</v>
      </c>
      <c r="K24" s="682">
        <v>381</v>
      </c>
      <c r="L24" s="682">
        <v>4</v>
      </c>
      <c r="M24" s="682">
        <v>65</v>
      </c>
      <c r="N24" s="44">
        <v>3</v>
      </c>
      <c r="O24" s="684"/>
      <c r="Q24" s="684"/>
      <c r="R24" s="684"/>
    </row>
    <row r="25" spans="1:18" ht="19.5" customHeight="1">
      <c r="A25" s="247">
        <v>4</v>
      </c>
      <c r="B25" s="682">
        <v>1317</v>
      </c>
      <c r="C25" s="682">
        <v>72</v>
      </c>
      <c r="D25" s="682">
        <v>105</v>
      </c>
      <c r="E25" s="682">
        <v>7</v>
      </c>
      <c r="F25" s="682">
        <v>20</v>
      </c>
      <c r="G25" s="682">
        <v>161</v>
      </c>
      <c r="H25" s="682">
        <v>13</v>
      </c>
      <c r="I25" s="682">
        <v>373</v>
      </c>
      <c r="J25" s="682">
        <v>121</v>
      </c>
      <c r="K25" s="682">
        <v>372</v>
      </c>
      <c r="L25" s="682">
        <v>4</v>
      </c>
      <c r="M25" s="682">
        <v>66</v>
      </c>
      <c r="N25" s="44">
        <v>3</v>
      </c>
      <c r="O25" s="684"/>
      <c r="Q25" s="684"/>
      <c r="R25" s="684"/>
    </row>
    <row r="26" spans="1:18" ht="19.5" customHeight="1">
      <c r="A26" s="540">
        <v>5</v>
      </c>
      <c r="B26" s="682">
        <v>1265</v>
      </c>
      <c r="C26" s="682">
        <v>73</v>
      </c>
      <c r="D26" s="682">
        <v>104</v>
      </c>
      <c r="E26" s="682">
        <v>7</v>
      </c>
      <c r="F26" s="682">
        <v>19</v>
      </c>
      <c r="G26" s="682">
        <v>157</v>
      </c>
      <c r="H26" s="682">
        <v>13</v>
      </c>
      <c r="I26" s="682">
        <v>354</v>
      </c>
      <c r="J26" s="682">
        <v>107</v>
      </c>
      <c r="K26" s="682">
        <v>366</v>
      </c>
      <c r="L26" s="682">
        <v>3</v>
      </c>
      <c r="M26" s="682">
        <v>60</v>
      </c>
      <c r="N26" s="44">
        <v>2</v>
      </c>
      <c r="O26" s="684"/>
      <c r="Q26" s="684"/>
      <c r="R26" s="684"/>
    </row>
    <row r="27" spans="1:18" ht="19.5" customHeight="1" thickBot="1">
      <c r="A27" s="220"/>
      <c r="B27" s="852"/>
      <c r="C27" s="852"/>
      <c r="D27" s="852"/>
      <c r="E27" s="852"/>
      <c r="F27" s="852"/>
      <c r="G27" s="852"/>
      <c r="H27" s="852"/>
      <c r="I27" s="852"/>
      <c r="J27" s="852"/>
      <c r="K27" s="852"/>
      <c r="L27" s="852"/>
      <c r="M27" s="852"/>
      <c r="N27" s="851"/>
      <c r="O27" s="684"/>
      <c r="Q27" s="684"/>
      <c r="R27" s="684"/>
    </row>
    <row r="28" spans="1:18" ht="19.5" customHeight="1">
      <c r="A28" s="11" t="s">
        <v>1577</v>
      </c>
    </row>
    <row r="29" spans="1:18" ht="19.5" customHeight="1">
      <c r="A29" s="11" t="s">
        <v>1605</v>
      </c>
    </row>
    <row r="30" spans="1:18" ht="19.5" customHeight="1"/>
  </sheetData>
  <mergeCells count="14">
    <mergeCell ref="M2:M4"/>
    <mergeCell ref="N2:N4"/>
    <mergeCell ref="G2:G4"/>
    <mergeCell ref="H2:H4"/>
    <mergeCell ref="I2:I4"/>
    <mergeCell ref="J2:J4"/>
    <mergeCell ref="K2:K4"/>
    <mergeCell ref="L2:L4"/>
    <mergeCell ref="F2:F4"/>
    <mergeCell ref="A2:A4"/>
    <mergeCell ref="B2:B4"/>
    <mergeCell ref="C2:C4"/>
    <mergeCell ref="D2:D4"/>
    <mergeCell ref="E2:E4"/>
  </mergeCells>
  <phoneticPr fontId="4"/>
  <pageMargins left="0.78700000000000003" right="0.62" top="0.98399999999999999" bottom="0.98399999999999999" header="0.51200000000000001" footer="0.51200000000000001"/>
  <pageSetup paperSize="9" scale="85"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19FA-0AF9-4270-803B-30302CF079B1}">
  <sheetPr codeName="Sheet59">
    <pageSetUpPr fitToPage="1"/>
  </sheetPr>
  <dimension ref="A1:H21"/>
  <sheetViews>
    <sheetView zoomScaleNormal="100" workbookViewId="0"/>
  </sheetViews>
  <sheetFormatPr defaultColWidth="9" defaultRowHeight="13.65" customHeight="1"/>
  <cols>
    <col min="1" max="1" width="8.5" style="11" customWidth="1"/>
    <col min="2" max="8" width="10.8984375" style="11" customWidth="1"/>
    <col min="9" max="16384" width="9" style="11"/>
  </cols>
  <sheetData>
    <row r="1" spans="1:8" ht="30" customHeight="1" thickBot="1">
      <c r="A1" s="259" t="s">
        <v>1614</v>
      </c>
    </row>
    <row r="2" spans="1:8" ht="21.75" customHeight="1">
      <c r="A2" s="2180" t="s">
        <v>1498</v>
      </c>
      <c r="B2" s="2202" t="s">
        <v>378</v>
      </c>
      <c r="C2" s="2572" t="s">
        <v>1607</v>
      </c>
      <c r="D2" s="2572"/>
      <c r="E2" s="2572"/>
      <c r="F2" s="2572" t="s">
        <v>1608</v>
      </c>
      <c r="G2" s="2572"/>
      <c r="H2" s="2183"/>
    </row>
    <row r="3" spans="1:8" ht="21.75" customHeight="1">
      <c r="A3" s="2182"/>
      <c r="B3" s="2193"/>
      <c r="C3" s="246" t="s">
        <v>175</v>
      </c>
      <c r="D3" s="246" t="s">
        <v>1609</v>
      </c>
      <c r="E3" s="246" t="s">
        <v>1610</v>
      </c>
      <c r="F3" s="246" t="s">
        <v>175</v>
      </c>
      <c r="G3" s="246" t="s">
        <v>1609</v>
      </c>
      <c r="H3" s="241" t="s">
        <v>1610</v>
      </c>
    </row>
    <row r="4" spans="1:8" ht="21.75" customHeight="1">
      <c r="A4" s="218"/>
      <c r="B4" s="86" t="s">
        <v>229</v>
      </c>
      <c r="C4" s="86" t="s">
        <v>229</v>
      </c>
      <c r="D4" s="86" t="s">
        <v>229</v>
      </c>
      <c r="E4" s="86" t="s">
        <v>229</v>
      </c>
      <c r="F4" s="86" t="s">
        <v>229</v>
      </c>
      <c r="G4" s="86" t="s">
        <v>229</v>
      </c>
      <c r="H4" s="39" t="s">
        <v>229</v>
      </c>
    </row>
    <row r="5" spans="1:8" ht="21.75" customHeight="1">
      <c r="A5" s="247" t="s">
        <v>1611</v>
      </c>
      <c r="B5" s="853">
        <v>248</v>
      </c>
      <c r="C5" s="853">
        <v>57</v>
      </c>
      <c r="D5" s="853">
        <v>55</v>
      </c>
      <c r="E5" s="853">
        <v>2</v>
      </c>
      <c r="F5" s="853">
        <v>191</v>
      </c>
      <c r="G5" s="853">
        <v>133</v>
      </c>
      <c r="H5" s="219">
        <v>58</v>
      </c>
    </row>
    <row r="6" spans="1:8" ht="21.75" customHeight="1">
      <c r="A6" s="247">
        <v>23</v>
      </c>
      <c r="B6" s="853">
        <v>271</v>
      </c>
      <c r="C6" s="853">
        <v>58</v>
      </c>
      <c r="D6" s="853">
        <v>57</v>
      </c>
      <c r="E6" s="853">
        <v>1</v>
      </c>
      <c r="F6" s="853">
        <v>213</v>
      </c>
      <c r="G6" s="853">
        <v>154</v>
      </c>
      <c r="H6" s="219">
        <v>59</v>
      </c>
    </row>
    <row r="7" spans="1:8" ht="21.75" customHeight="1">
      <c r="A7" s="247">
        <v>24</v>
      </c>
      <c r="B7" s="853">
        <v>277</v>
      </c>
      <c r="C7" s="853">
        <v>58</v>
      </c>
      <c r="D7" s="853">
        <v>58</v>
      </c>
      <c r="E7" s="853" t="s">
        <v>1612</v>
      </c>
      <c r="F7" s="853">
        <v>219</v>
      </c>
      <c r="G7" s="853">
        <v>162</v>
      </c>
      <c r="H7" s="219">
        <v>57</v>
      </c>
    </row>
    <row r="8" spans="1:8" ht="21.75" customHeight="1">
      <c r="A8" s="247">
        <v>25</v>
      </c>
      <c r="B8" s="853">
        <v>287</v>
      </c>
      <c r="C8" s="853">
        <v>54</v>
      </c>
      <c r="D8" s="853">
        <v>53</v>
      </c>
      <c r="E8" s="853">
        <v>1</v>
      </c>
      <c r="F8" s="853">
        <v>233</v>
      </c>
      <c r="G8" s="853">
        <v>173</v>
      </c>
      <c r="H8" s="219">
        <v>60</v>
      </c>
    </row>
    <row r="9" spans="1:8" ht="21.75" customHeight="1">
      <c r="A9" s="247">
        <v>26</v>
      </c>
      <c r="B9" s="853">
        <v>286</v>
      </c>
      <c r="C9" s="853">
        <v>54</v>
      </c>
      <c r="D9" s="853">
        <v>53</v>
      </c>
      <c r="E9" s="853">
        <v>1</v>
      </c>
      <c r="F9" s="853">
        <v>232</v>
      </c>
      <c r="G9" s="853">
        <v>174</v>
      </c>
      <c r="H9" s="219">
        <v>58</v>
      </c>
    </row>
    <row r="10" spans="1:8" ht="21.75" customHeight="1">
      <c r="A10" s="247">
        <v>27</v>
      </c>
      <c r="B10" s="853">
        <v>289</v>
      </c>
      <c r="C10" s="853">
        <v>50</v>
      </c>
      <c r="D10" s="853">
        <v>48</v>
      </c>
      <c r="E10" s="853">
        <v>2</v>
      </c>
      <c r="F10" s="853">
        <v>239</v>
      </c>
      <c r="G10" s="853">
        <v>186</v>
      </c>
      <c r="H10" s="219">
        <v>53</v>
      </c>
    </row>
    <row r="11" spans="1:8" ht="21.75" customHeight="1">
      <c r="A11" s="247">
        <v>28</v>
      </c>
      <c r="B11" s="853">
        <v>298</v>
      </c>
      <c r="C11" s="853">
        <v>51</v>
      </c>
      <c r="D11" s="853">
        <v>49</v>
      </c>
      <c r="E11" s="853">
        <v>2</v>
      </c>
      <c r="F11" s="853">
        <v>247</v>
      </c>
      <c r="G11" s="853">
        <v>193</v>
      </c>
      <c r="H11" s="219">
        <v>54</v>
      </c>
    </row>
    <row r="12" spans="1:8" ht="21.75" customHeight="1">
      <c r="A12" s="247">
        <v>29</v>
      </c>
      <c r="B12" s="853">
        <v>303</v>
      </c>
      <c r="C12" s="853">
        <v>48</v>
      </c>
      <c r="D12" s="853">
        <v>46</v>
      </c>
      <c r="E12" s="853">
        <v>2</v>
      </c>
      <c r="F12" s="853">
        <v>254</v>
      </c>
      <c r="G12" s="853">
        <v>199</v>
      </c>
      <c r="H12" s="219">
        <v>55</v>
      </c>
    </row>
    <row r="13" spans="1:8" ht="21.75" customHeight="1">
      <c r="A13" s="247">
        <v>30</v>
      </c>
      <c r="B13" s="853">
        <v>312</v>
      </c>
      <c r="C13" s="853">
        <v>51</v>
      </c>
      <c r="D13" s="853">
        <v>50</v>
      </c>
      <c r="E13" s="853">
        <v>1</v>
      </c>
      <c r="F13" s="853">
        <v>261</v>
      </c>
      <c r="G13" s="853">
        <v>213</v>
      </c>
      <c r="H13" s="219">
        <v>48</v>
      </c>
    </row>
    <row r="14" spans="1:8" ht="21.75" customHeight="1">
      <c r="A14" s="247">
        <v>31</v>
      </c>
      <c r="B14" s="853">
        <v>317</v>
      </c>
      <c r="C14" s="853">
        <v>52</v>
      </c>
      <c r="D14" s="853">
        <v>51</v>
      </c>
      <c r="E14" s="853">
        <v>1</v>
      </c>
      <c r="F14" s="853">
        <v>265</v>
      </c>
      <c r="G14" s="853">
        <v>219</v>
      </c>
      <c r="H14" s="219">
        <v>46</v>
      </c>
    </row>
    <row r="15" spans="1:8" ht="21.75" customHeight="1">
      <c r="A15" s="247" t="s">
        <v>1059</v>
      </c>
      <c r="B15" s="853">
        <v>314</v>
      </c>
      <c r="C15" s="853">
        <v>32</v>
      </c>
      <c r="D15" s="853">
        <v>32</v>
      </c>
      <c r="E15" s="853" t="s">
        <v>1613</v>
      </c>
      <c r="F15" s="853">
        <v>282</v>
      </c>
      <c r="G15" s="853">
        <v>237</v>
      </c>
      <c r="H15" s="219">
        <v>45</v>
      </c>
    </row>
    <row r="16" spans="1:8" ht="21.75" customHeight="1">
      <c r="A16" s="247">
        <v>3</v>
      </c>
      <c r="B16" s="853">
        <v>309</v>
      </c>
      <c r="C16" s="853">
        <v>27</v>
      </c>
      <c r="D16" s="853">
        <v>27</v>
      </c>
      <c r="E16" s="853" t="s">
        <v>1613</v>
      </c>
      <c r="F16" s="853">
        <v>282</v>
      </c>
      <c r="G16" s="853">
        <v>237</v>
      </c>
      <c r="H16" s="219">
        <v>45</v>
      </c>
    </row>
    <row r="17" spans="1:8" ht="21.75" customHeight="1">
      <c r="A17" s="247">
        <v>4</v>
      </c>
      <c r="B17" s="853">
        <v>309</v>
      </c>
      <c r="C17" s="853">
        <v>27</v>
      </c>
      <c r="D17" s="853">
        <v>27</v>
      </c>
      <c r="E17" s="853" t="s">
        <v>1613</v>
      </c>
      <c r="F17" s="853">
        <v>282</v>
      </c>
      <c r="G17" s="853">
        <v>237</v>
      </c>
      <c r="H17" s="219">
        <v>45</v>
      </c>
    </row>
    <row r="18" spans="1:8" ht="21.75" customHeight="1">
      <c r="A18" s="540">
        <v>5</v>
      </c>
      <c r="B18" s="853">
        <v>319</v>
      </c>
      <c r="C18" s="853">
        <v>27</v>
      </c>
      <c r="D18" s="853">
        <v>26</v>
      </c>
      <c r="E18" s="853">
        <v>1</v>
      </c>
      <c r="F18" s="853">
        <v>292</v>
      </c>
      <c r="G18" s="853">
        <v>241</v>
      </c>
      <c r="H18" s="219">
        <v>51</v>
      </c>
    </row>
    <row r="19" spans="1:8" ht="21.75" customHeight="1" thickBot="1">
      <c r="A19" s="220"/>
      <c r="B19" s="854"/>
      <c r="C19" s="854"/>
      <c r="D19" s="854"/>
      <c r="E19" s="854"/>
      <c r="F19" s="854"/>
      <c r="G19" s="854"/>
      <c r="H19" s="221"/>
    </row>
    <row r="20" spans="1:8" ht="21.75" customHeight="1">
      <c r="A20" s="11" t="s">
        <v>1577</v>
      </c>
    </row>
    <row r="21" spans="1:8" ht="21.75" customHeight="1"/>
  </sheetData>
  <mergeCells count="4">
    <mergeCell ref="A2:A3"/>
    <mergeCell ref="B2:B3"/>
    <mergeCell ref="C2:E2"/>
    <mergeCell ref="F2:H2"/>
  </mergeCells>
  <phoneticPr fontId="4"/>
  <printOptions horizontalCentered="1"/>
  <pageMargins left="0.78740157480314965" right="0.78740157480314965" top="0.98425196850393704" bottom="0.98425196850393704" header="0.51181102362204722" footer="0.51181102362204722"/>
  <pageSetup paperSize="9" scale="92"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3FB2-3171-416E-8D54-E76DA9290D75}">
  <sheetPr codeName="Sheet60">
    <pageSetUpPr fitToPage="1"/>
  </sheetPr>
  <dimension ref="A1:L21"/>
  <sheetViews>
    <sheetView workbookViewId="0"/>
  </sheetViews>
  <sheetFormatPr defaultColWidth="9" defaultRowHeight="10.8"/>
  <cols>
    <col min="1" max="3" width="8.69921875" style="11" customWidth="1"/>
    <col min="4" max="9" width="8.09765625" style="11" customWidth="1"/>
    <col min="10" max="10" width="8.69921875" style="11" customWidth="1"/>
    <col min="11" max="16384" width="9" style="11"/>
  </cols>
  <sheetData>
    <row r="1" spans="1:11" ht="30" customHeight="1" thickBot="1">
      <c r="A1" s="259" t="s">
        <v>1615</v>
      </c>
    </row>
    <row r="2" spans="1:11" ht="20.100000000000001" customHeight="1">
      <c r="A2" s="2180" t="s">
        <v>1562</v>
      </c>
      <c r="B2" s="2183" t="s">
        <v>1616</v>
      </c>
      <c r="C2" s="2184"/>
      <c r="D2" s="2184"/>
      <c r="E2" s="2184"/>
      <c r="F2" s="2184"/>
      <c r="G2" s="2184"/>
      <c r="H2" s="2184"/>
      <c r="I2" s="2184"/>
      <c r="J2" s="2184"/>
    </row>
    <row r="3" spans="1:11" ht="20.100000000000001" customHeight="1">
      <c r="A3" s="2181"/>
      <c r="B3" s="2593" t="s">
        <v>1617</v>
      </c>
      <c r="C3" s="2594"/>
      <c r="D3" s="2198" t="s">
        <v>1618</v>
      </c>
      <c r="E3" s="2198" t="s">
        <v>1619</v>
      </c>
      <c r="F3" s="2198" t="s">
        <v>1620</v>
      </c>
      <c r="G3" s="2198" t="s">
        <v>1621</v>
      </c>
      <c r="H3" s="2198" t="s">
        <v>1622</v>
      </c>
      <c r="I3" s="2197" t="s">
        <v>1623</v>
      </c>
      <c r="J3" s="2190" t="s">
        <v>1624</v>
      </c>
    </row>
    <row r="4" spans="1:11" ht="20.100000000000001" customHeight="1">
      <c r="A4" s="2182"/>
      <c r="B4" s="241" t="s">
        <v>1625</v>
      </c>
      <c r="C4" s="241" t="s">
        <v>1626</v>
      </c>
      <c r="D4" s="2193"/>
      <c r="E4" s="2193"/>
      <c r="F4" s="2193"/>
      <c r="G4" s="2193"/>
      <c r="H4" s="2193"/>
      <c r="I4" s="2193"/>
      <c r="J4" s="2189"/>
    </row>
    <row r="5" spans="1:11" ht="20.100000000000001" customHeight="1">
      <c r="A5" s="243"/>
      <c r="B5" s="39" t="s">
        <v>1517</v>
      </c>
      <c r="C5" s="39" t="s">
        <v>1026</v>
      </c>
      <c r="D5" s="86" t="s">
        <v>1517</v>
      </c>
      <c r="E5" s="86" t="s">
        <v>1517</v>
      </c>
      <c r="F5" s="86" t="s">
        <v>1517</v>
      </c>
      <c r="G5" s="86" t="s">
        <v>1517</v>
      </c>
      <c r="H5" s="86" t="s">
        <v>1517</v>
      </c>
      <c r="I5" s="86" t="s">
        <v>1517</v>
      </c>
      <c r="J5" s="39" t="s">
        <v>1517</v>
      </c>
    </row>
    <row r="6" spans="1:11" ht="24.75" customHeight="1">
      <c r="A6" s="247" t="s">
        <v>1611</v>
      </c>
      <c r="B6" s="855">
        <v>287301</v>
      </c>
      <c r="C6" s="856">
        <v>113.3</v>
      </c>
      <c r="D6" s="857">
        <v>85564</v>
      </c>
      <c r="E6" s="857">
        <v>16958</v>
      </c>
      <c r="F6" s="686">
        <v>1155</v>
      </c>
      <c r="G6" s="857">
        <v>7333</v>
      </c>
      <c r="H6" s="857">
        <v>104585</v>
      </c>
      <c r="I6" s="858">
        <v>569</v>
      </c>
      <c r="J6" s="855">
        <v>71137</v>
      </c>
      <c r="K6" s="770"/>
    </row>
    <row r="7" spans="1:11" ht="24.75" customHeight="1">
      <c r="A7" s="247">
        <v>23</v>
      </c>
      <c r="B7" s="855">
        <v>320620</v>
      </c>
      <c r="C7" s="856">
        <v>111.6</v>
      </c>
      <c r="D7" s="857">
        <v>89827</v>
      </c>
      <c r="E7" s="857">
        <v>19313</v>
      </c>
      <c r="F7" s="686">
        <v>1419</v>
      </c>
      <c r="G7" s="857">
        <v>10555</v>
      </c>
      <c r="H7" s="857">
        <v>131470</v>
      </c>
      <c r="I7" s="858">
        <v>1271</v>
      </c>
      <c r="J7" s="855">
        <v>66765</v>
      </c>
      <c r="K7" s="770"/>
    </row>
    <row r="8" spans="1:11" ht="24.75" customHeight="1">
      <c r="A8" s="247">
        <v>24</v>
      </c>
      <c r="B8" s="855">
        <v>318277</v>
      </c>
      <c r="C8" s="856">
        <v>99.3</v>
      </c>
      <c r="D8" s="857">
        <v>89806</v>
      </c>
      <c r="E8" s="857">
        <v>20740</v>
      </c>
      <c r="F8" s="686">
        <v>1011</v>
      </c>
      <c r="G8" s="857">
        <v>12001</v>
      </c>
      <c r="H8" s="857">
        <v>128488</v>
      </c>
      <c r="I8" s="858">
        <v>1527</v>
      </c>
      <c r="J8" s="855">
        <v>64704</v>
      </c>
      <c r="K8" s="770"/>
    </row>
    <row r="9" spans="1:11" ht="24.75" customHeight="1">
      <c r="A9" s="247">
        <v>25</v>
      </c>
      <c r="B9" s="855">
        <v>312820</v>
      </c>
      <c r="C9" s="856">
        <v>98.3</v>
      </c>
      <c r="D9" s="857">
        <v>85324</v>
      </c>
      <c r="E9" s="857">
        <v>19635</v>
      </c>
      <c r="F9" s="686">
        <v>691</v>
      </c>
      <c r="G9" s="857">
        <v>9358</v>
      </c>
      <c r="H9" s="857">
        <v>129710</v>
      </c>
      <c r="I9" s="687">
        <v>1793</v>
      </c>
      <c r="J9" s="855">
        <v>66309</v>
      </c>
      <c r="K9" s="770"/>
    </row>
    <row r="10" spans="1:11" ht="24.75" customHeight="1">
      <c r="A10" s="247">
        <v>26</v>
      </c>
      <c r="B10" s="855">
        <v>327504</v>
      </c>
      <c r="C10" s="856">
        <v>104.7</v>
      </c>
      <c r="D10" s="857">
        <v>88786</v>
      </c>
      <c r="E10" s="857">
        <v>20792</v>
      </c>
      <c r="F10" s="686">
        <v>890</v>
      </c>
      <c r="G10" s="857">
        <v>8223</v>
      </c>
      <c r="H10" s="857">
        <v>136480</v>
      </c>
      <c r="I10" s="687">
        <v>2060</v>
      </c>
      <c r="J10" s="855">
        <v>70273</v>
      </c>
      <c r="K10" s="770"/>
    </row>
    <row r="11" spans="1:11" ht="24.75" customHeight="1">
      <c r="A11" s="247">
        <v>27</v>
      </c>
      <c r="B11" s="855">
        <v>316600</v>
      </c>
      <c r="C11" s="856">
        <v>96.7</v>
      </c>
      <c r="D11" s="857">
        <v>83854</v>
      </c>
      <c r="E11" s="857">
        <v>21405</v>
      </c>
      <c r="F11" s="686">
        <v>953</v>
      </c>
      <c r="G11" s="857">
        <v>8662</v>
      </c>
      <c r="H11" s="857">
        <v>133637</v>
      </c>
      <c r="I11" s="687">
        <v>695</v>
      </c>
      <c r="J11" s="855">
        <v>67391</v>
      </c>
      <c r="K11" s="770"/>
    </row>
    <row r="12" spans="1:11" ht="24.75" customHeight="1">
      <c r="A12" s="247">
        <v>28</v>
      </c>
      <c r="B12" s="855">
        <v>344227</v>
      </c>
      <c r="C12" s="856">
        <v>108.7</v>
      </c>
      <c r="D12" s="857">
        <v>80268</v>
      </c>
      <c r="E12" s="857">
        <v>20423</v>
      </c>
      <c r="F12" s="686">
        <v>1178</v>
      </c>
      <c r="G12" s="857">
        <v>7319</v>
      </c>
      <c r="H12" s="857">
        <v>166679</v>
      </c>
      <c r="I12" s="687">
        <v>565</v>
      </c>
      <c r="J12" s="855">
        <v>67794</v>
      </c>
      <c r="K12" s="770"/>
    </row>
    <row r="13" spans="1:11" ht="24.75" customHeight="1">
      <c r="A13" s="247">
        <v>29</v>
      </c>
      <c r="B13" s="855">
        <v>277302</v>
      </c>
      <c r="C13" s="856">
        <v>80.599999999999994</v>
      </c>
      <c r="D13" s="857">
        <v>68921</v>
      </c>
      <c r="E13" s="857">
        <v>17832</v>
      </c>
      <c r="F13" s="686">
        <v>715</v>
      </c>
      <c r="G13" s="857">
        <v>4217</v>
      </c>
      <c r="H13" s="857">
        <v>116980</v>
      </c>
      <c r="I13" s="687">
        <v>355</v>
      </c>
      <c r="J13" s="855">
        <v>68282</v>
      </c>
      <c r="K13" s="770"/>
    </row>
    <row r="14" spans="1:11" ht="24.75" customHeight="1">
      <c r="A14" s="247">
        <v>30</v>
      </c>
      <c r="B14" s="855">
        <v>256067</v>
      </c>
      <c r="C14" s="856">
        <v>92.3</v>
      </c>
      <c r="D14" s="857">
        <v>54101</v>
      </c>
      <c r="E14" s="857">
        <v>16825</v>
      </c>
      <c r="F14" s="686">
        <v>734</v>
      </c>
      <c r="G14" s="857">
        <v>2464</v>
      </c>
      <c r="H14" s="857">
        <v>118779</v>
      </c>
      <c r="I14" s="687">
        <v>284</v>
      </c>
      <c r="J14" s="855">
        <v>62880</v>
      </c>
      <c r="K14" s="770"/>
    </row>
    <row r="15" spans="1:11" ht="24.75" customHeight="1">
      <c r="A15" s="247">
        <v>31</v>
      </c>
      <c r="B15" s="855">
        <v>284337</v>
      </c>
      <c r="C15" s="856">
        <v>111</v>
      </c>
      <c r="D15" s="857">
        <v>47062</v>
      </c>
      <c r="E15" s="857">
        <v>15179</v>
      </c>
      <c r="F15" s="686">
        <v>365</v>
      </c>
      <c r="G15" s="857">
        <v>2152</v>
      </c>
      <c r="H15" s="857">
        <v>159575</v>
      </c>
      <c r="I15" s="687">
        <v>273</v>
      </c>
      <c r="J15" s="855">
        <v>59731</v>
      </c>
      <c r="K15" s="770"/>
    </row>
    <row r="16" spans="1:11" ht="24.75" customHeight="1">
      <c r="A16" s="247" t="s">
        <v>1502</v>
      </c>
      <c r="B16" s="855">
        <v>230359</v>
      </c>
      <c r="C16" s="856">
        <v>81</v>
      </c>
      <c r="D16" s="857">
        <v>39532</v>
      </c>
      <c r="E16" s="857">
        <v>12415</v>
      </c>
      <c r="F16" s="686">
        <v>128</v>
      </c>
      <c r="G16" s="857">
        <v>1928</v>
      </c>
      <c r="H16" s="857">
        <v>111554</v>
      </c>
      <c r="I16" s="687">
        <v>152</v>
      </c>
      <c r="J16" s="855">
        <v>64650</v>
      </c>
      <c r="K16" s="770"/>
    </row>
    <row r="17" spans="1:12" ht="24.75" customHeight="1">
      <c r="A17" s="247">
        <v>3</v>
      </c>
      <c r="B17" s="855">
        <v>213668</v>
      </c>
      <c r="C17" s="856">
        <v>92.7</v>
      </c>
      <c r="D17" s="857">
        <v>42019</v>
      </c>
      <c r="E17" s="857">
        <v>12736</v>
      </c>
      <c r="F17" s="686">
        <v>364</v>
      </c>
      <c r="G17" s="857">
        <v>2131</v>
      </c>
      <c r="H17" s="857">
        <v>96654</v>
      </c>
      <c r="I17" s="687">
        <v>235</v>
      </c>
      <c r="J17" s="855">
        <v>59529</v>
      </c>
      <c r="K17" s="770"/>
      <c r="L17" s="770"/>
    </row>
    <row r="18" spans="1:12" ht="24.75" customHeight="1">
      <c r="A18" s="247">
        <v>4</v>
      </c>
      <c r="B18" s="855">
        <v>223764</v>
      </c>
      <c r="C18" s="856">
        <v>104.7</v>
      </c>
      <c r="D18" s="857">
        <v>45694</v>
      </c>
      <c r="E18" s="857">
        <v>14909</v>
      </c>
      <c r="F18" s="686">
        <v>538</v>
      </c>
      <c r="G18" s="857">
        <v>1711</v>
      </c>
      <c r="H18" s="857">
        <v>103566</v>
      </c>
      <c r="I18" s="687">
        <v>797</v>
      </c>
      <c r="J18" s="855">
        <v>56549</v>
      </c>
      <c r="K18" s="770"/>
      <c r="L18" s="770"/>
    </row>
    <row r="19" spans="1:12" ht="24.75" customHeight="1">
      <c r="A19" s="540">
        <v>5</v>
      </c>
      <c r="B19" s="855">
        <v>216773</v>
      </c>
      <c r="C19" s="856">
        <v>96.8</v>
      </c>
      <c r="D19" s="857">
        <v>48586</v>
      </c>
      <c r="E19" s="857">
        <v>16168</v>
      </c>
      <c r="F19" s="686">
        <v>399</v>
      </c>
      <c r="G19" s="857">
        <v>1827</v>
      </c>
      <c r="H19" s="857">
        <v>93257</v>
      </c>
      <c r="I19" s="687">
        <v>607</v>
      </c>
      <c r="J19" s="855">
        <v>55929</v>
      </c>
      <c r="K19" s="770"/>
      <c r="L19" s="770"/>
    </row>
    <row r="20" spans="1:12" ht="24.75" customHeight="1" thickBot="1">
      <c r="A20" s="220"/>
      <c r="B20" s="859"/>
      <c r="C20" s="860"/>
      <c r="D20" s="861"/>
      <c r="E20" s="861"/>
      <c r="F20" s="850"/>
      <c r="G20" s="861"/>
      <c r="H20" s="861"/>
      <c r="I20" s="862"/>
      <c r="J20" s="859"/>
      <c r="L20" s="770"/>
    </row>
    <row r="21" spans="1:12" ht="24.75" customHeight="1">
      <c r="A21" s="11" t="s">
        <v>1577</v>
      </c>
      <c r="C21" s="863"/>
    </row>
  </sheetData>
  <mergeCells count="10">
    <mergeCell ref="A2:A4"/>
    <mergeCell ref="B2:J2"/>
    <mergeCell ref="B3:C3"/>
    <mergeCell ref="D3:D4"/>
    <mergeCell ref="E3:E4"/>
    <mergeCell ref="F3:F4"/>
    <mergeCell ref="G3:G4"/>
    <mergeCell ref="H3:H4"/>
    <mergeCell ref="I3:I4"/>
    <mergeCell ref="J3:J4"/>
  </mergeCells>
  <phoneticPr fontId="4"/>
  <printOptions horizontalCentered="1"/>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3EB8-5ED0-4DFC-8598-4BD4B46A1DBA}">
  <sheetPr codeName="Sheet61">
    <pageSetUpPr fitToPage="1"/>
  </sheetPr>
  <dimension ref="A1:H48"/>
  <sheetViews>
    <sheetView showGridLines="0" workbookViewId="0"/>
  </sheetViews>
  <sheetFormatPr defaultRowHeight="10.8"/>
  <cols>
    <col min="1" max="1" width="9.59765625" style="11" customWidth="1"/>
    <col min="2" max="7" width="10.8984375" style="11" customWidth="1"/>
    <col min="8" max="8" width="9" style="11" bestFit="1" customWidth="1"/>
    <col min="9" max="256" width="9" style="11"/>
    <col min="257" max="257" width="9.59765625" style="11" customWidth="1"/>
    <col min="258" max="264" width="10.8984375" style="11" customWidth="1"/>
    <col min="265" max="512" width="9" style="11"/>
    <col min="513" max="513" width="9.59765625" style="11" customWidth="1"/>
    <col min="514" max="520" width="10.8984375" style="11" customWidth="1"/>
    <col min="521" max="768" width="9" style="11"/>
    <col min="769" max="769" width="9.59765625" style="11" customWidth="1"/>
    <col min="770" max="776" width="10.8984375" style="11" customWidth="1"/>
    <col min="777" max="1024" width="9" style="11"/>
    <col min="1025" max="1025" width="9.59765625" style="11" customWidth="1"/>
    <col min="1026" max="1032" width="10.8984375" style="11" customWidth="1"/>
    <col min="1033" max="1280" width="9" style="11"/>
    <col min="1281" max="1281" width="9.59765625" style="11" customWidth="1"/>
    <col min="1282" max="1288" width="10.8984375" style="11" customWidth="1"/>
    <col min="1289" max="1536" width="9" style="11"/>
    <col min="1537" max="1537" width="9.59765625" style="11" customWidth="1"/>
    <col min="1538" max="1544" width="10.8984375" style="11" customWidth="1"/>
    <col min="1545" max="1792" width="9" style="11"/>
    <col min="1793" max="1793" width="9.59765625" style="11" customWidth="1"/>
    <col min="1794" max="1800" width="10.8984375" style="11" customWidth="1"/>
    <col min="1801" max="2048" width="9" style="11"/>
    <col min="2049" max="2049" width="9.59765625" style="11" customWidth="1"/>
    <col min="2050" max="2056" width="10.8984375" style="11" customWidth="1"/>
    <col min="2057" max="2304" width="9" style="11"/>
    <col min="2305" max="2305" width="9.59765625" style="11" customWidth="1"/>
    <col min="2306" max="2312" width="10.8984375" style="11" customWidth="1"/>
    <col min="2313" max="2560" width="9" style="11"/>
    <col min="2561" max="2561" width="9.59765625" style="11" customWidth="1"/>
    <col min="2562" max="2568" width="10.8984375" style="11" customWidth="1"/>
    <col min="2569" max="2816" width="9" style="11"/>
    <col min="2817" max="2817" width="9.59765625" style="11" customWidth="1"/>
    <col min="2818" max="2824" width="10.8984375" style="11" customWidth="1"/>
    <col min="2825" max="3072" width="9" style="11"/>
    <col min="3073" max="3073" width="9.59765625" style="11" customWidth="1"/>
    <col min="3074" max="3080" width="10.8984375" style="11" customWidth="1"/>
    <col min="3081" max="3328" width="9" style="11"/>
    <col min="3329" max="3329" width="9.59765625" style="11" customWidth="1"/>
    <col min="3330" max="3336" width="10.8984375" style="11" customWidth="1"/>
    <col min="3337" max="3584" width="9" style="11"/>
    <col min="3585" max="3585" width="9.59765625" style="11" customWidth="1"/>
    <col min="3586" max="3592" width="10.8984375" style="11" customWidth="1"/>
    <col min="3593" max="3840" width="9" style="11"/>
    <col min="3841" max="3841" width="9.59765625" style="11" customWidth="1"/>
    <col min="3842" max="3848" width="10.8984375" style="11" customWidth="1"/>
    <col min="3849" max="4096" width="9" style="11"/>
    <col min="4097" max="4097" width="9.59765625" style="11" customWidth="1"/>
    <col min="4098" max="4104" width="10.8984375" style="11" customWidth="1"/>
    <col min="4105" max="4352" width="9" style="11"/>
    <col min="4353" max="4353" width="9.59765625" style="11" customWidth="1"/>
    <col min="4354" max="4360" width="10.8984375" style="11" customWidth="1"/>
    <col min="4361" max="4608" width="9" style="11"/>
    <col min="4609" max="4609" width="9.59765625" style="11" customWidth="1"/>
    <col min="4610" max="4616" width="10.8984375" style="11" customWidth="1"/>
    <col min="4617" max="4864" width="9" style="11"/>
    <col min="4865" max="4865" width="9.59765625" style="11" customWidth="1"/>
    <col min="4866" max="4872" width="10.8984375" style="11" customWidth="1"/>
    <col min="4873" max="5120" width="9" style="11"/>
    <col min="5121" max="5121" width="9.59765625" style="11" customWidth="1"/>
    <col min="5122" max="5128" width="10.8984375" style="11" customWidth="1"/>
    <col min="5129" max="5376" width="9" style="11"/>
    <col min="5377" max="5377" width="9.59765625" style="11" customWidth="1"/>
    <col min="5378" max="5384" width="10.8984375" style="11" customWidth="1"/>
    <col min="5385" max="5632" width="9" style="11"/>
    <col min="5633" max="5633" width="9.59765625" style="11" customWidth="1"/>
    <col min="5634" max="5640" width="10.8984375" style="11" customWidth="1"/>
    <col min="5641" max="5888" width="9" style="11"/>
    <col min="5889" max="5889" width="9.59765625" style="11" customWidth="1"/>
    <col min="5890" max="5896" width="10.8984375" style="11" customWidth="1"/>
    <col min="5897" max="6144" width="9" style="11"/>
    <col min="6145" max="6145" width="9.59765625" style="11" customWidth="1"/>
    <col min="6146" max="6152" width="10.8984375" style="11" customWidth="1"/>
    <col min="6153" max="6400" width="9" style="11"/>
    <col min="6401" max="6401" width="9.59765625" style="11" customWidth="1"/>
    <col min="6402" max="6408" width="10.8984375" style="11" customWidth="1"/>
    <col min="6409" max="6656" width="9" style="11"/>
    <col min="6657" max="6657" width="9.59765625" style="11" customWidth="1"/>
    <col min="6658" max="6664" width="10.8984375" style="11" customWidth="1"/>
    <col min="6665" max="6912" width="9" style="11"/>
    <col min="6913" max="6913" width="9.59765625" style="11" customWidth="1"/>
    <col min="6914" max="6920" width="10.8984375" style="11" customWidth="1"/>
    <col min="6921" max="7168" width="9" style="11"/>
    <col min="7169" max="7169" width="9.59765625" style="11" customWidth="1"/>
    <col min="7170" max="7176" width="10.8984375" style="11" customWidth="1"/>
    <col min="7177" max="7424" width="9" style="11"/>
    <col min="7425" max="7425" width="9.59765625" style="11" customWidth="1"/>
    <col min="7426" max="7432" width="10.8984375" style="11" customWidth="1"/>
    <col min="7433" max="7680" width="9" style="11"/>
    <col min="7681" max="7681" width="9.59765625" style="11" customWidth="1"/>
    <col min="7682" max="7688" width="10.8984375" style="11" customWidth="1"/>
    <col min="7689" max="7936" width="9" style="11"/>
    <col min="7937" max="7937" width="9.59765625" style="11" customWidth="1"/>
    <col min="7938" max="7944" width="10.8984375" style="11" customWidth="1"/>
    <col min="7945" max="8192" width="9" style="11"/>
    <col min="8193" max="8193" width="9.59765625" style="11" customWidth="1"/>
    <col min="8194" max="8200" width="10.8984375" style="11" customWidth="1"/>
    <col min="8201" max="8448" width="9" style="11"/>
    <col min="8449" max="8449" width="9.59765625" style="11" customWidth="1"/>
    <col min="8450" max="8456" width="10.8984375" style="11" customWidth="1"/>
    <col min="8457" max="8704" width="9" style="11"/>
    <col min="8705" max="8705" width="9.59765625" style="11" customWidth="1"/>
    <col min="8706" max="8712" width="10.8984375" style="11" customWidth="1"/>
    <col min="8713" max="8960" width="9" style="11"/>
    <col min="8961" max="8961" width="9.59765625" style="11" customWidth="1"/>
    <col min="8962" max="8968" width="10.8984375" style="11" customWidth="1"/>
    <col min="8969" max="9216" width="9" style="11"/>
    <col min="9217" max="9217" width="9.59765625" style="11" customWidth="1"/>
    <col min="9218" max="9224" width="10.8984375" style="11" customWidth="1"/>
    <col min="9225" max="9472" width="9" style="11"/>
    <col min="9473" max="9473" width="9.59765625" style="11" customWidth="1"/>
    <col min="9474" max="9480" width="10.8984375" style="11" customWidth="1"/>
    <col min="9481" max="9728" width="9" style="11"/>
    <col min="9729" max="9729" width="9.59765625" style="11" customWidth="1"/>
    <col min="9730" max="9736" width="10.8984375" style="11" customWidth="1"/>
    <col min="9737" max="9984" width="9" style="11"/>
    <col min="9985" max="9985" width="9.59765625" style="11" customWidth="1"/>
    <col min="9986" max="9992" width="10.8984375" style="11" customWidth="1"/>
    <col min="9993" max="10240" width="9" style="11"/>
    <col min="10241" max="10241" width="9.59765625" style="11" customWidth="1"/>
    <col min="10242" max="10248" width="10.8984375" style="11" customWidth="1"/>
    <col min="10249" max="10496" width="9" style="11"/>
    <col min="10497" max="10497" width="9.59765625" style="11" customWidth="1"/>
    <col min="10498" max="10504" width="10.8984375" style="11" customWidth="1"/>
    <col min="10505" max="10752" width="9" style="11"/>
    <col min="10753" max="10753" width="9.59765625" style="11" customWidth="1"/>
    <col min="10754" max="10760" width="10.8984375" style="11" customWidth="1"/>
    <col min="10761" max="11008" width="9" style="11"/>
    <col min="11009" max="11009" width="9.59765625" style="11" customWidth="1"/>
    <col min="11010" max="11016" width="10.8984375" style="11" customWidth="1"/>
    <col min="11017" max="11264" width="9" style="11"/>
    <col min="11265" max="11265" width="9.59765625" style="11" customWidth="1"/>
    <col min="11266" max="11272" width="10.8984375" style="11" customWidth="1"/>
    <col min="11273" max="11520" width="9" style="11"/>
    <col min="11521" max="11521" width="9.59765625" style="11" customWidth="1"/>
    <col min="11522" max="11528" width="10.8984375" style="11" customWidth="1"/>
    <col min="11529" max="11776" width="9" style="11"/>
    <col min="11777" max="11777" width="9.59765625" style="11" customWidth="1"/>
    <col min="11778" max="11784" width="10.8984375" style="11" customWidth="1"/>
    <col min="11785" max="12032" width="9" style="11"/>
    <col min="12033" max="12033" width="9.59765625" style="11" customWidth="1"/>
    <col min="12034" max="12040" width="10.8984375" style="11" customWidth="1"/>
    <col min="12041" max="12288" width="9" style="11"/>
    <col min="12289" max="12289" width="9.59765625" style="11" customWidth="1"/>
    <col min="12290" max="12296" width="10.8984375" style="11" customWidth="1"/>
    <col min="12297" max="12544" width="9" style="11"/>
    <col min="12545" max="12545" width="9.59765625" style="11" customWidth="1"/>
    <col min="12546" max="12552" width="10.8984375" style="11" customWidth="1"/>
    <col min="12553" max="12800" width="9" style="11"/>
    <col min="12801" max="12801" width="9.59765625" style="11" customWidth="1"/>
    <col min="12802" max="12808" width="10.8984375" style="11" customWidth="1"/>
    <col min="12809" max="13056" width="9" style="11"/>
    <col min="13057" max="13057" width="9.59765625" style="11" customWidth="1"/>
    <col min="13058" max="13064" width="10.8984375" style="11" customWidth="1"/>
    <col min="13065" max="13312" width="9" style="11"/>
    <col min="13313" max="13313" width="9.59765625" style="11" customWidth="1"/>
    <col min="13314" max="13320" width="10.8984375" style="11" customWidth="1"/>
    <col min="13321" max="13568" width="9" style="11"/>
    <col min="13569" max="13569" width="9.59765625" style="11" customWidth="1"/>
    <col min="13570" max="13576" width="10.8984375" style="11" customWidth="1"/>
    <col min="13577" max="13824" width="9" style="11"/>
    <col min="13825" max="13825" width="9.59765625" style="11" customWidth="1"/>
    <col min="13826" max="13832" width="10.8984375" style="11" customWidth="1"/>
    <col min="13833" max="14080" width="9" style="11"/>
    <col min="14081" max="14081" width="9.59765625" style="11" customWidth="1"/>
    <col min="14082" max="14088" width="10.8984375" style="11" customWidth="1"/>
    <col min="14089" max="14336" width="9" style="11"/>
    <col min="14337" max="14337" width="9.59765625" style="11" customWidth="1"/>
    <col min="14338" max="14344" width="10.8984375" style="11" customWidth="1"/>
    <col min="14345" max="14592" width="9" style="11"/>
    <col min="14593" max="14593" width="9.59765625" style="11" customWidth="1"/>
    <col min="14594" max="14600" width="10.8984375" style="11" customWidth="1"/>
    <col min="14601" max="14848" width="9" style="11"/>
    <col min="14849" max="14849" width="9.59765625" style="11" customWidth="1"/>
    <col min="14850" max="14856" width="10.8984375" style="11" customWidth="1"/>
    <col min="14857" max="15104" width="9" style="11"/>
    <col min="15105" max="15105" width="9.59765625" style="11" customWidth="1"/>
    <col min="15106" max="15112" width="10.8984375" style="11" customWidth="1"/>
    <col min="15113" max="15360" width="9" style="11"/>
    <col min="15361" max="15361" width="9.59765625" style="11" customWidth="1"/>
    <col min="15362" max="15368" width="10.8984375" style="11" customWidth="1"/>
    <col min="15369" max="15616" width="9" style="11"/>
    <col min="15617" max="15617" width="9.59765625" style="11" customWidth="1"/>
    <col min="15618" max="15624" width="10.8984375" style="11" customWidth="1"/>
    <col min="15625" max="15872" width="9" style="11"/>
    <col min="15873" max="15873" width="9.59765625" style="11" customWidth="1"/>
    <col min="15874" max="15880" width="10.8984375" style="11" customWidth="1"/>
    <col min="15881" max="16128" width="9" style="11"/>
    <col min="16129" max="16129" width="9.59765625" style="11" customWidth="1"/>
    <col min="16130" max="16136" width="10.8984375" style="11" customWidth="1"/>
    <col min="16137" max="16384" width="9" style="11"/>
  </cols>
  <sheetData>
    <row r="1" spans="1:8" ht="30" customHeight="1" thickBot="1">
      <c r="A1" s="259" t="s">
        <v>1627</v>
      </c>
    </row>
    <row r="2" spans="1:8" ht="21" customHeight="1">
      <c r="A2" s="2187" t="s">
        <v>1628</v>
      </c>
      <c r="B2" s="2186" t="s">
        <v>1629</v>
      </c>
      <c r="C2" s="2186" t="s">
        <v>1630</v>
      </c>
      <c r="D2" s="2187"/>
      <c r="E2" s="2187"/>
      <c r="F2" s="2187"/>
      <c r="G2" s="2187"/>
      <c r="H2" s="2186" t="s">
        <v>1631</v>
      </c>
    </row>
    <row r="3" spans="1:8" ht="21" customHeight="1">
      <c r="A3" s="2196"/>
      <c r="B3" s="2189"/>
      <c r="C3" s="159" t="s">
        <v>1632</v>
      </c>
      <c r="D3" s="159" t="s">
        <v>1633</v>
      </c>
      <c r="E3" s="159" t="s">
        <v>1634</v>
      </c>
      <c r="F3" s="159" t="s">
        <v>1635</v>
      </c>
      <c r="G3" s="159" t="s">
        <v>33</v>
      </c>
      <c r="H3" s="2189"/>
    </row>
    <row r="4" spans="1:8" ht="21" customHeight="1">
      <c r="B4" s="39" t="s">
        <v>1636</v>
      </c>
      <c r="C4" s="39" t="s">
        <v>1636</v>
      </c>
      <c r="D4" s="39" t="s">
        <v>1636</v>
      </c>
      <c r="E4" s="39" t="s">
        <v>1636</v>
      </c>
      <c r="F4" s="39" t="s">
        <v>1636</v>
      </c>
      <c r="G4" s="39" t="s">
        <v>1636</v>
      </c>
      <c r="H4" s="33" t="s">
        <v>1026</v>
      </c>
    </row>
    <row r="5" spans="1:8" ht="20.399999999999999" customHeight="1">
      <c r="A5" s="253" t="s">
        <v>1637</v>
      </c>
      <c r="B5" s="864">
        <v>3660000</v>
      </c>
      <c r="C5" s="864">
        <v>9186003</v>
      </c>
      <c r="D5" s="864">
        <v>5183100</v>
      </c>
      <c r="E5" s="864">
        <v>3661500</v>
      </c>
      <c r="F5" s="864">
        <v>307009</v>
      </c>
      <c r="G5" s="864">
        <v>34394</v>
      </c>
      <c r="H5" s="865">
        <v>251</v>
      </c>
    </row>
    <row r="6" spans="1:8" ht="20.399999999999999" customHeight="1">
      <c r="A6" s="253">
        <v>7</v>
      </c>
      <c r="B6" s="864">
        <v>11525000</v>
      </c>
      <c r="C6" s="864">
        <v>12833733</v>
      </c>
      <c r="D6" s="864">
        <v>8474600</v>
      </c>
      <c r="E6" s="864">
        <v>3985044</v>
      </c>
      <c r="F6" s="864">
        <v>339395</v>
      </c>
      <c r="G6" s="864">
        <v>34694</v>
      </c>
      <c r="H6" s="865">
        <v>111.4</v>
      </c>
    </row>
    <row r="7" spans="1:8" ht="20.399999999999999" customHeight="1">
      <c r="A7" s="253">
        <v>8</v>
      </c>
      <c r="B7" s="864">
        <v>11550000</v>
      </c>
      <c r="C7" s="864">
        <v>12728780</v>
      </c>
      <c r="D7" s="864">
        <v>8445432</v>
      </c>
      <c r="E7" s="864">
        <v>3986298</v>
      </c>
      <c r="F7" s="864">
        <v>266776</v>
      </c>
      <c r="G7" s="864">
        <v>80274</v>
      </c>
      <c r="H7" s="865">
        <v>110.2</v>
      </c>
    </row>
    <row r="8" spans="1:8" ht="20.399999999999999" customHeight="1">
      <c r="A8" s="253">
        <v>9</v>
      </c>
      <c r="B8" s="866">
        <v>11759000</v>
      </c>
      <c r="C8" s="866">
        <v>12618840</v>
      </c>
      <c r="D8" s="866">
        <v>8415950</v>
      </c>
      <c r="E8" s="866">
        <v>3787815</v>
      </c>
      <c r="F8" s="866">
        <v>334100</v>
      </c>
      <c r="G8" s="866">
        <v>80975</v>
      </c>
      <c r="H8" s="867">
        <v>107.3</v>
      </c>
    </row>
    <row r="9" spans="1:8" ht="20.399999999999999" customHeight="1">
      <c r="A9" s="253">
        <v>10</v>
      </c>
      <c r="B9" s="866">
        <v>11555000</v>
      </c>
      <c r="C9" s="866">
        <v>12214020</v>
      </c>
      <c r="D9" s="866">
        <v>8345300</v>
      </c>
      <c r="E9" s="866">
        <v>3537345</v>
      </c>
      <c r="F9" s="866">
        <v>291262</v>
      </c>
      <c r="G9" s="866">
        <v>40113</v>
      </c>
      <c r="H9" s="867">
        <v>105.7</v>
      </c>
    </row>
    <row r="10" spans="1:8" ht="20.399999999999999" customHeight="1">
      <c r="A10" s="253">
        <v>11</v>
      </c>
      <c r="B10" s="866">
        <v>11622000</v>
      </c>
      <c r="C10" s="866">
        <v>11838560</v>
      </c>
      <c r="D10" s="866">
        <v>9394360</v>
      </c>
      <c r="E10" s="866">
        <v>2285000</v>
      </c>
      <c r="F10" s="866">
        <v>141556</v>
      </c>
      <c r="G10" s="866">
        <v>17644</v>
      </c>
      <c r="H10" s="867">
        <v>101.9</v>
      </c>
    </row>
    <row r="11" spans="1:8" ht="20.399999999999999" customHeight="1">
      <c r="A11" s="253">
        <v>12</v>
      </c>
      <c r="B11" s="866">
        <v>11308000</v>
      </c>
      <c r="C11" s="866">
        <v>11713769</v>
      </c>
      <c r="D11" s="866">
        <v>9302561</v>
      </c>
      <c r="E11" s="866">
        <v>2026000</v>
      </c>
      <c r="F11" s="866">
        <v>286565</v>
      </c>
      <c r="G11" s="866">
        <v>98643</v>
      </c>
      <c r="H11" s="867">
        <v>103.6</v>
      </c>
    </row>
    <row r="12" spans="1:8" ht="20.399999999999999" customHeight="1">
      <c r="A12" s="253">
        <v>13</v>
      </c>
      <c r="B12" s="866">
        <v>11014000</v>
      </c>
      <c r="C12" s="866">
        <v>11507483</v>
      </c>
      <c r="D12" s="866">
        <v>7731450</v>
      </c>
      <c r="E12" s="866">
        <v>3346000</v>
      </c>
      <c r="F12" s="866">
        <v>200651</v>
      </c>
      <c r="G12" s="866">
        <v>229382</v>
      </c>
      <c r="H12" s="867">
        <v>104.5</v>
      </c>
    </row>
    <row r="13" spans="1:8" ht="20.399999999999999" customHeight="1">
      <c r="A13" s="253">
        <v>14</v>
      </c>
      <c r="B13" s="866">
        <v>11010000</v>
      </c>
      <c r="C13" s="866">
        <v>11184358</v>
      </c>
      <c r="D13" s="866">
        <v>7716700</v>
      </c>
      <c r="E13" s="866">
        <v>3115500</v>
      </c>
      <c r="F13" s="866">
        <v>279431</v>
      </c>
      <c r="G13" s="866">
        <v>72727</v>
      </c>
      <c r="H13" s="867">
        <v>101.6</v>
      </c>
    </row>
    <row r="14" spans="1:8" ht="20.399999999999999" customHeight="1">
      <c r="A14" s="253">
        <v>15</v>
      </c>
      <c r="B14" s="866">
        <v>11240000</v>
      </c>
      <c r="C14" s="866">
        <v>10914591</v>
      </c>
      <c r="D14" s="866">
        <v>9329400</v>
      </c>
      <c r="E14" s="866">
        <v>1237592</v>
      </c>
      <c r="F14" s="866">
        <v>302333</v>
      </c>
      <c r="G14" s="866">
        <v>45266</v>
      </c>
      <c r="H14" s="867">
        <v>97.1</v>
      </c>
    </row>
    <row r="15" spans="1:8" ht="20.399999999999999" customHeight="1">
      <c r="A15" s="253">
        <v>16</v>
      </c>
      <c r="B15" s="866">
        <v>10958000</v>
      </c>
      <c r="C15" s="866">
        <v>10467408</v>
      </c>
      <c r="D15" s="866">
        <v>7447580</v>
      </c>
      <c r="E15" s="866">
        <v>2650000</v>
      </c>
      <c r="F15" s="866">
        <v>317311</v>
      </c>
      <c r="G15" s="866">
        <v>52517</v>
      </c>
      <c r="H15" s="867">
        <v>95.5</v>
      </c>
    </row>
    <row r="16" spans="1:8" ht="20.399999999999999" customHeight="1">
      <c r="A16" s="253">
        <v>17</v>
      </c>
      <c r="B16" s="866">
        <v>10460000</v>
      </c>
      <c r="C16" s="866">
        <v>10333109</v>
      </c>
      <c r="D16" s="866">
        <v>8925168</v>
      </c>
      <c r="E16" s="866">
        <v>1025000</v>
      </c>
      <c r="F16" s="866">
        <v>312336</v>
      </c>
      <c r="G16" s="866">
        <v>70605</v>
      </c>
      <c r="H16" s="867">
        <v>98.7</v>
      </c>
    </row>
    <row r="17" spans="1:8" ht="20.399999999999999" customHeight="1">
      <c r="A17" s="253">
        <v>18</v>
      </c>
      <c r="B17" s="866">
        <v>11795000</v>
      </c>
      <c r="C17" s="866">
        <v>11181154</v>
      </c>
      <c r="D17" s="866">
        <v>8105038</v>
      </c>
      <c r="E17" s="866">
        <v>2524510</v>
      </c>
      <c r="F17" s="866">
        <v>493706</v>
      </c>
      <c r="G17" s="866">
        <v>57900</v>
      </c>
      <c r="H17" s="867">
        <v>94.7</v>
      </c>
    </row>
    <row r="18" spans="1:8" ht="20.399999999999999" customHeight="1">
      <c r="A18" s="253">
        <v>19</v>
      </c>
      <c r="B18" s="866">
        <v>10957000</v>
      </c>
      <c r="C18" s="866">
        <v>10868447</v>
      </c>
      <c r="D18" s="866">
        <v>7912089</v>
      </c>
      <c r="E18" s="866">
        <v>2458914</v>
      </c>
      <c r="F18" s="866">
        <v>424014</v>
      </c>
      <c r="G18" s="866">
        <v>73430</v>
      </c>
      <c r="H18" s="867">
        <v>99.2</v>
      </c>
    </row>
    <row r="19" spans="1:8" ht="20.399999999999999" customHeight="1">
      <c r="A19" s="253">
        <v>20</v>
      </c>
      <c r="B19" s="866">
        <v>10642000</v>
      </c>
      <c r="C19" s="866">
        <v>10597524</v>
      </c>
      <c r="D19" s="866">
        <v>7719868</v>
      </c>
      <c r="E19" s="866">
        <v>2365947</v>
      </c>
      <c r="F19" s="866">
        <v>438043</v>
      </c>
      <c r="G19" s="866">
        <v>73666</v>
      </c>
      <c r="H19" s="867">
        <v>99.6</v>
      </c>
    </row>
    <row r="20" spans="1:8" ht="20.399999999999999" customHeight="1">
      <c r="A20" s="253">
        <v>21</v>
      </c>
      <c r="B20" s="866">
        <v>10723000</v>
      </c>
      <c r="C20" s="866">
        <v>10397752</v>
      </c>
      <c r="D20" s="866">
        <v>7651070</v>
      </c>
      <c r="E20" s="866">
        <v>2293559</v>
      </c>
      <c r="F20" s="866">
        <v>386208</v>
      </c>
      <c r="G20" s="866">
        <v>66915</v>
      </c>
      <c r="H20" s="867">
        <v>97</v>
      </c>
    </row>
    <row r="21" spans="1:8" ht="20.399999999999999" customHeight="1">
      <c r="A21" s="253">
        <v>22</v>
      </c>
      <c r="B21" s="866">
        <v>10514000</v>
      </c>
      <c r="C21" s="866">
        <v>10226011</v>
      </c>
      <c r="D21" s="866">
        <v>7606806</v>
      </c>
      <c r="E21" s="866">
        <v>2154551</v>
      </c>
      <c r="F21" s="866">
        <v>393845</v>
      </c>
      <c r="G21" s="866">
        <v>70809</v>
      </c>
      <c r="H21" s="867">
        <v>97.3</v>
      </c>
    </row>
    <row r="22" spans="1:8" ht="20.399999999999999" customHeight="1">
      <c r="A22" s="253">
        <v>23</v>
      </c>
      <c r="B22" s="866">
        <v>10369000</v>
      </c>
      <c r="C22" s="866">
        <v>9934814</v>
      </c>
      <c r="D22" s="866">
        <v>7400500</v>
      </c>
      <c r="E22" s="866">
        <v>2045847</v>
      </c>
      <c r="F22" s="866">
        <v>379876</v>
      </c>
      <c r="G22" s="866">
        <v>108591</v>
      </c>
      <c r="H22" s="867">
        <v>95.8</v>
      </c>
    </row>
    <row r="23" spans="1:8" ht="20.399999999999999" customHeight="1">
      <c r="A23" s="253">
        <v>24</v>
      </c>
      <c r="B23" s="866">
        <v>9905000</v>
      </c>
      <c r="C23" s="866">
        <v>9756439</v>
      </c>
      <c r="D23" s="866">
        <v>7334000</v>
      </c>
      <c r="E23" s="866">
        <v>1962262</v>
      </c>
      <c r="F23" s="866">
        <v>374249</v>
      </c>
      <c r="G23" s="866">
        <v>85928</v>
      </c>
      <c r="H23" s="867">
        <v>98.5</v>
      </c>
    </row>
    <row r="24" spans="1:8" ht="20.399999999999999" customHeight="1">
      <c r="A24" s="253">
        <v>25</v>
      </c>
      <c r="B24" s="866">
        <v>9707000</v>
      </c>
      <c r="C24" s="866">
        <v>9799038</v>
      </c>
      <c r="D24" s="866">
        <v>7251623</v>
      </c>
      <c r="E24" s="866">
        <v>1971074</v>
      </c>
      <c r="F24" s="866">
        <v>371729</v>
      </c>
      <c r="G24" s="866">
        <v>204612</v>
      </c>
      <c r="H24" s="867">
        <v>100.9</v>
      </c>
    </row>
    <row r="25" spans="1:8" ht="20.399999999999999" customHeight="1">
      <c r="A25" s="253">
        <v>26</v>
      </c>
      <c r="B25" s="866">
        <v>9688000</v>
      </c>
      <c r="C25" s="866">
        <v>9690562</v>
      </c>
      <c r="D25" s="866">
        <v>7153095</v>
      </c>
      <c r="E25" s="866">
        <v>1939940</v>
      </c>
      <c r="F25" s="866">
        <v>406335</v>
      </c>
      <c r="G25" s="866">
        <v>191192</v>
      </c>
      <c r="H25" s="867">
        <v>100</v>
      </c>
    </row>
    <row r="26" spans="1:8" ht="20.399999999999999" customHeight="1">
      <c r="A26" s="253">
        <v>27</v>
      </c>
      <c r="B26" s="868">
        <v>9656000</v>
      </c>
      <c r="C26" s="868">
        <v>9520011</v>
      </c>
      <c r="D26" s="868">
        <v>7076565</v>
      </c>
      <c r="E26" s="868">
        <v>1829806</v>
      </c>
      <c r="F26" s="868">
        <v>362413</v>
      </c>
      <c r="G26" s="868">
        <v>251227</v>
      </c>
      <c r="H26" s="867">
        <v>98.6</v>
      </c>
    </row>
    <row r="27" spans="1:8" ht="20.399999999999999" customHeight="1">
      <c r="A27" s="253">
        <v>28</v>
      </c>
      <c r="B27" s="868">
        <v>9534000</v>
      </c>
      <c r="C27" s="868">
        <v>9134658</v>
      </c>
      <c r="D27" s="868">
        <v>6899604</v>
      </c>
      <c r="E27" s="868">
        <v>1777700</v>
      </c>
      <c r="F27" s="868">
        <v>326577</v>
      </c>
      <c r="G27" s="868">
        <v>130777</v>
      </c>
      <c r="H27" s="867">
        <v>95.8</v>
      </c>
    </row>
    <row r="28" spans="1:8" ht="20.399999999999999" customHeight="1">
      <c r="A28" s="253">
        <v>29</v>
      </c>
      <c r="B28" s="868">
        <v>9236000</v>
      </c>
      <c r="C28" s="868">
        <v>8954888</v>
      </c>
      <c r="D28" s="868">
        <v>6794010</v>
      </c>
      <c r="E28" s="868">
        <v>1669118</v>
      </c>
      <c r="F28" s="868">
        <v>340460</v>
      </c>
      <c r="G28" s="868">
        <v>151300</v>
      </c>
      <c r="H28" s="867">
        <v>96.9</v>
      </c>
    </row>
    <row r="29" spans="1:8" ht="20.399999999999999" customHeight="1">
      <c r="A29" s="253">
        <v>30</v>
      </c>
      <c r="B29" s="868">
        <v>9069000</v>
      </c>
      <c r="C29" s="868">
        <v>8810431</v>
      </c>
      <c r="D29" s="868">
        <v>6723180</v>
      </c>
      <c r="E29" s="868">
        <v>1652038</v>
      </c>
      <c r="F29" s="868">
        <v>329020</v>
      </c>
      <c r="G29" s="868">
        <v>106193</v>
      </c>
      <c r="H29" s="867">
        <f>+C29/B29*100</f>
        <v>97.148869776160552</v>
      </c>
    </row>
    <row r="30" spans="1:8" ht="21" customHeight="1">
      <c r="A30" s="253" t="s">
        <v>1638</v>
      </c>
      <c r="B30" s="868">
        <v>8811000</v>
      </c>
      <c r="C30" s="868">
        <v>8528257</v>
      </c>
      <c r="D30" s="868">
        <v>6556267</v>
      </c>
      <c r="E30" s="868">
        <v>1650939</v>
      </c>
      <c r="F30" s="868">
        <v>278204</v>
      </c>
      <c r="G30" s="868">
        <v>42847</v>
      </c>
      <c r="H30" s="867">
        <f>IFERROR(+C30/B30*100,"")</f>
        <v>96.791022585404605</v>
      </c>
    </row>
    <row r="31" spans="1:8" ht="21" customHeight="1">
      <c r="A31" s="253">
        <v>2</v>
      </c>
      <c r="B31" s="868">
        <v>8698000</v>
      </c>
      <c r="C31" s="868">
        <v>8071664</v>
      </c>
      <c r="D31" s="868">
        <v>6449643</v>
      </c>
      <c r="E31" s="868">
        <v>1279593</v>
      </c>
      <c r="F31" s="868">
        <v>241731</v>
      </c>
      <c r="G31" s="868">
        <v>50697</v>
      </c>
      <c r="H31" s="867">
        <v>92.799080248332956</v>
      </c>
    </row>
    <row r="32" spans="1:8" ht="21" customHeight="1">
      <c r="A32" s="253">
        <v>3</v>
      </c>
      <c r="B32" s="869">
        <v>8702000</v>
      </c>
      <c r="C32" s="869">
        <v>7891609</v>
      </c>
      <c r="D32" s="869">
        <v>6409214</v>
      </c>
      <c r="E32" s="869">
        <v>1180555</v>
      </c>
      <c r="F32" s="869">
        <v>245527</v>
      </c>
      <c r="G32" s="869">
        <v>56313</v>
      </c>
      <c r="H32" s="870">
        <v>90.7</v>
      </c>
    </row>
    <row r="33" spans="1:8" ht="21" customHeight="1">
      <c r="A33" s="253">
        <v>4</v>
      </c>
      <c r="B33" s="869">
        <v>8549000</v>
      </c>
      <c r="C33" s="869">
        <v>7258533</v>
      </c>
      <c r="D33" s="869">
        <v>5863062</v>
      </c>
      <c r="E33" s="869">
        <v>1036000</v>
      </c>
      <c r="F33" s="869">
        <v>255071</v>
      </c>
      <c r="G33" s="869">
        <v>104400</v>
      </c>
      <c r="H33" s="870">
        <v>84.9</v>
      </c>
    </row>
    <row r="34" spans="1:8" ht="21" customHeight="1">
      <c r="A34" s="545">
        <v>5</v>
      </c>
      <c r="B34" s="869">
        <v>8010000</v>
      </c>
      <c r="C34" s="869">
        <v>7119078</v>
      </c>
      <c r="D34" s="869">
        <v>5658645</v>
      </c>
      <c r="E34" s="869">
        <v>978500</v>
      </c>
      <c r="F34" s="869">
        <v>239168</v>
      </c>
      <c r="G34" s="869">
        <v>242765</v>
      </c>
      <c r="H34" s="870">
        <v>88.9</v>
      </c>
    </row>
    <row r="35" spans="1:8" ht="21" customHeight="1" thickBot="1">
      <c r="A35" s="92"/>
      <c r="B35" s="871"/>
      <c r="C35" s="871"/>
      <c r="D35" s="871"/>
      <c r="E35" s="871"/>
      <c r="F35" s="871"/>
      <c r="G35" s="871"/>
      <c r="H35" s="872"/>
    </row>
    <row r="36" spans="1:8" ht="21" customHeight="1">
      <c r="A36" s="11" t="s">
        <v>1639</v>
      </c>
      <c r="D36" s="322"/>
      <c r="E36" s="322"/>
      <c r="F36" s="322"/>
      <c r="G36" s="322"/>
    </row>
    <row r="37" spans="1:8" ht="21" customHeight="1">
      <c r="A37" s="11" t="s">
        <v>1640</v>
      </c>
    </row>
    <row r="38" spans="1:8" ht="21" customHeight="1"/>
    <row r="39" spans="1:8" ht="21" customHeight="1"/>
    <row r="40" spans="1:8" ht="21" customHeight="1"/>
    <row r="41" spans="1:8" ht="21" customHeight="1"/>
    <row r="42" spans="1:8" ht="21" customHeight="1"/>
    <row r="43" spans="1:8" ht="21" customHeight="1"/>
    <row r="44" spans="1:8" ht="21" customHeight="1"/>
    <row r="45" spans="1:8" ht="21" customHeight="1"/>
    <row r="46" spans="1:8" ht="21" customHeight="1"/>
    <row r="47" spans="1:8" ht="21" customHeight="1"/>
    <row r="48" spans="1:8" ht="21" customHeight="1"/>
  </sheetData>
  <mergeCells count="4">
    <mergeCell ref="A2:A3"/>
    <mergeCell ref="B2:B3"/>
    <mergeCell ref="C2:G2"/>
    <mergeCell ref="H2:H3"/>
  </mergeCells>
  <phoneticPr fontId="4"/>
  <printOptions horizontalCentered="1"/>
  <pageMargins left="0.78740157480314965" right="0.78740157480314965" top="0.98425196850393704" bottom="0.98425196850393704" header="0.51181102362204722" footer="0.51181102362204722"/>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871E-79C8-4A10-B61A-FF2426E9B18E}">
  <sheetPr codeName="Sheet4">
    <pageSetUpPr fitToPage="1"/>
  </sheetPr>
  <dimension ref="A1:S77"/>
  <sheetViews>
    <sheetView showGridLines="0" workbookViewId="0">
      <pane xSplit="1" ySplit="5" topLeftCell="B6" activePane="bottomRight" state="frozen"/>
      <selection activeCell="N26" sqref="N26"/>
      <selection pane="topRight" activeCell="N26" sqref="N26"/>
      <selection pane="bottomLeft" activeCell="N26" sqref="N26"/>
      <selection pane="bottomRight" activeCell="T37" sqref="T37"/>
    </sheetView>
  </sheetViews>
  <sheetFormatPr defaultColWidth="9" defaultRowHeight="13.2"/>
  <cols>
    <col min="1" max="1" width="8.09765625" style="2" customWidth="1"/>
    <col min="2" max="2" width="6" style="2" customWidth="1"/>
    <col min="3" max="3" width="1.19921875" style="2" customWidth="1"/>
    <col min="4" max="4" width="6.19921875" style="2" customWidth="1"/>
    <col min="5" max="5" width="1.5" style="2" customWidth="1"/>
    <col min="6" max="6" width="7.69921875" style="2" customWidth="1"/>
    <col min="7" max="7" width="1.09765625" style="2" customWidth="1"/>
    <col min="8" max="8" width="5.09765625" style="2" customWidth="1"/>
    <col min="9" max="9" width="1.19921875" style="2" customWidth="1"/>
    <col min="10" max="10" width="6.09765625" style="2" customWidth="1"/>
    <col min="11" max="11" width="1" style="2" customWidth="1"/>
    <col min="12" max="12" width="5.3984375" style="2" customWidth="1"/>
    <col min="13" max="13" width="1.59765625" style="2" customWidth="1"/>
    <col min="14" max="14" width="8.8984375" style="2" customWidth="1"/>
    <col min="15" max="15" width="7" style="2" customWidth="1"/>
    <col min="16" max="16" width="1.3984375" style="2" customWidth="1"/>
    <col min="17" max="17" width="5.3984375" style="2" customWidth="1"/>
    <col min="18" max="18" width="1.5" style="2" customWidth="1"/>
    <col min="19" max="19" width="7.59765625" style="2" customWidth="1"/>
    <col min="20" max="16384" width="9" style="2"/>
  </cols>
  <sheetData>
    <row r="1" spans="1:19" ht="30" customHeight="1" thickBot="1">
      <c r="A1" s="2139" t="s">
        <v>48</v>
      </c>
      <c r="B1" s="2139"/>
      <c r="C1" s="2139"/>
      <c r="D1" s="2139"/>
      <c r="E1" s="2139"/>
      <c r="F1" s="2139"/>
      <c r="G1" s="31"/>
    </row>
    <row r="2" spans="1:19" s="11" customFormat="1" ht="18" customHeight="1">
      <c r="A2" s="2180" t="s">
        <v>49</v>
      </c>
      <c r="B2" s="2183" t="s">
        <v>50</v>
      </c>
      <c r="C2" s="2184"/>
      <c r="D2" s="2184"/>
      <c r="E2" s="2184"/>
      <c r="F2" s="2184"/>
      <c r="G2" s="2185"/>
      <c r="H2" s="2183" t="s">
        <v>51</v>
      </c>
      <c r="I2" s="2184"/>
      <c r="J2" s="2184"/>
      <c r="K2" s="2185"/>
      <c r="L2" s="2186" t="s">
        <v>52</v>
      </c>
      <c r="M2" s="2187"/>
      <c r="N2" s="2187"/>
      <c r="O2" s="2186" t="s">
        <v>53</v>
      </c>
      <c r="P2" s="2187"/>
      <c r="Q2" s="2187"/>
      <c r="R2" s="2180"/>
      <c r="S2" s="2186" t="s">
        <v>54</v>
      </c>
    </row>
    <row r="3" spans="1:19" s="11" customFormat="1" ht="13.5" customHeight="1">
      <c r="A3" s="2181"/>
      <c r="B3" s="2190" t="s">
        <v>55</v>
      </c>
      <c r="C3" s="2191"/>
      <c r="D3" s="2190" t="s">
        <v>56</v>
      </c>
      <c r="E3" s="2191"/>
      <c r="F3" s="2190" t="s">
        <v>57</v>
      </c>
      <c r="G3" s="2191"/>
      <c r="H3" s="2190" t="s">
        <v>58</v>
      </c>
      <c r="I3" s="2191"/>
      <c r="J3" s="2190" t="s">
        <v>59</v>
      </c>
      <c r="K3" s="2191"/>
      <c r="L3" s="2190" t="s">
        <v>55</v>
      </c>
      <c r="M3" s="2191"/>
      <c r="N3" s="2192" t="s">
        <v>60</v>
      </c>
      <c r="O3" s="2190" t="s">
        <v>61</v>
      </c>
      <c r="P3" s="2191"/>
      <c r="Q3" s="2194" t="s">
        <v>62</v>
      </c>
      <c r="R3" s="2191"/>
      <c r="S3" s="2188"/>
    </row>
    <row r="4" spans="1:19" s="11" customFormat="1" ht="13.5" customHeight="1">
      <c r="A4" s="2182"/>
      <c r="B4" s="2189"/>
      <c r="C4" s="2182"/>
      <c r="D4" s="2189"/>
      <c r="E4" s="2182"/>
      <c r="F4" s="2189"/>
      <c r="G4" s="2182"/>
      <c r="H4" s="2189"/>
      <c r="I4" s="2182"/>
      <c r="J4" s="2189"/>
      <c r="K4" s="2182"/>
      <c r="L4" s="2189"/>
      <c r="M4" s="2182"/>
      <c r="N4" s="2193"/>
      <c r="O4" s="2189"/>
      <c r="P4" s="2182"/>
      <c r="Q4" s="2189"/>
      <c r="R4" s="2182"/>
      <c r="S4" s="2189"/>
    </row>
    <row r="5" spans="1:19" s="11" customFormat="1" ht="18.899999999999999" customHeight="1">
      <c r="B5" s="33"/>
      <c r="C5" s="34" t="s">
        <v>63</v>
      </c>
      <c r="D5" s="33"/>
      <c r="E5" s="35" t="s">
        <v>63</v>
      </c>
      <c r="F5" s="36"/>
      <c r="G5" s="35" t="s">
        <v>63</v>
      </c>
      <c r="I5" s="35" t="s">
        <v>64</v>
      </c>
      <c r="J5" s="36"/>
      <c r="K5" s="34" t="s">
        <v>64</v>
      </c>
      <c r="L5" s="37"/>
      <c r="M5" s="34" t="s">
        <v>65</v>
      </c>
      <c r="N5" s="36" t="s">
        <v>65</v>
      </c>
      <c r="O5" s="33"/>
      <c r="P5" s="34" t="s">
        <v>66</v>
      </c>
      <c r="Q5" s="36"/>
      <c r="R5" s="38" t="s">
        <v>66</v>
      </c>
      <c r="S5" s="39" t="s">
        <v>67</v>
      </c>
    </row>
    <row r="6" spans="1:19" s="11" customFormat="1" ht="18.899999999999999" customHeight="1">
      <c r="A6" s="79" t="s">
        <v>88</v>
      </c>
      <c r="B6" s="41">
        <v>8.5</v>
      </c>
      <c r="C6" s="42"/>
      <c r="D6" s="41">
        <v>32.200000000000003</v>
      </c>
      <c r="E6" s="42"/>
      <c r="F6" s="43">
        <v>-14.5</v>
      </c>
      <c r="G6" s="42"/>
      <c r="H6" s="44">
        <v>66</v>
      </c>
      <c r="I6" s="45"/>
      <c r="J6" s="46">
        <v>80</v>
      </c>
      <c r="K6" s="45"/>
      <c r="L6" s="41">
        <v>1.9</v>
      </c>
      <c r="M6" s="42"/>
      <c r="N6" s="74" t="s">
        <v>89</v>
      </c>
      <c r="O6" s="80">
        <v>1398</v>
      </c>
      <c r="P6" s="49"/>
      <c r="Q6" s="78">
        <v>109</v>
      </c>
      <c r="R6" s="50"/>
      <c r="S6" s="81">
        <v>1527</v>
      </c>
    </row>
    <row r="7" spans="1:19" s="11" customFormat="1" ht="18.899999999999999" customHeight="1">
      <c r="A7" s="79">
        <v>8</v>
      </c>
      <c r="B7" s="41">
        <v>8.6</v>
      </c>
      <c r="C7" s="42"/>
      <c r="D7" s="41">
        <v>31.4</v>
      </c>
      <c r="E7" s="42"/>
      <c r="F7" s="43">
        <v>-14.7</v>
      </c>
      <c r="G7" s="42"/>
      <c r="H7" s="44">
        <v>60</v>
      </c>
      <c r="I7" s="45"/>
      <c r="J7" s="46">
        <v>86</v>
      </c>
      <c r="K7" s="45"/>
      <c r="L7" s="41">
        <v>1.9</v>
      </c>
      <c r="M7" s="42"/>
      <c r="N7" s="74" t="s">
        <v>90</v>
      </c>
      <c r="O7" s="80">
        <v>1300</v>
      </c>
      <c r="P7" s="49"/>
      <c r="Q7" s="78">
        <v>107</v>
      </c>
      <c r="R7" s="50"/>
      <c r="S7" s="81">
        <v>1720</v>
      </c>
    </row>
    <row r="8" spans="1:19" s="11" customFormat="1" ht="18.899999999999999" customHeight="1">
      <c r="A8" s="79">
        <v>9</v>
      </c>
      <c r="B8" s="41">
        <v>9.4</v>
      </c>
      <c r="C8" s="42"/>
      <c r="D8" s="41">
        <v>31.7</v>
      </c>
      <c r="E8" s="42"/>
      <c r="F8" s="43">
        <v>-16.5</v>
      </c>
      <c r="G8" s="42"/>
      <c r="H8" s="44">
        <v>90</v>
      </c>
      <c r="I8" s="45"/>
      <c r="J8" s="46">
        <v>100</v>
      </c>
      <c r="K8" s="45"/>
      <c r="L8" s="41">
        <v>1.9</v>
      </c>
      <c r="M8" s="42"/>
      <c r="N8" s="74" t="s">
        <v>91</v>
      </c>
      <c r="O8" s="80">
        <v>1182</v>
      </c>
      <c r="P8" s="49"/>
      <c r="Q8" s="78">
        <v>49</v>
      </c>
      <c r="R8" s="50"/>
      <c r="S8" s="81">
        <v>1750</v>
      </c>
    </row>
    <row r="9" spans="1:19" s="11" customFormat="1" ht="18.899999999999999" customHeight="1">
      <c r="A9" s="79">
        <v>10</v>
      </c>
      <c r="B9" s="41">
        <v>10.4</v>
      </c>
      <c r="C9" s="42"/>
      <c r="D9" s="41">
        <v>30.2</v>
      </c>
      <c r="E9" s="42"/>
      <c r="F9" s="43">
        <v>-14.6</v>
      </c>
      <c r="G9" s="42"/>
      <c r="H9" s="44">
        <v>54</v>
      </c>
      <c r="I9" s="45"/>
      <c r="J9" s="46">
        <v>109</v>
      </c>
      <c r="K9" s="45"/>
      <c r="L9" s="41">
        <v>1.8</v>
      </c>
      <c r="M9" s="42"/>
      <c r="N9" s="74" t="s">
        <v>92</v>
      </c>
      <c r="O9" s="80">
        <v>1738</v>
      </c>
      <c r="P9" s="49"/>
      <c r="Q9" s="78">
        <v>80</v>
      </c>
      <c r="R9" s="50"/>
      <c r="S9" s="81">
        <v>1459</v>
      </c>
    </row>
    <row r="10" spans="1:19" s="11" customFormat="1" ht="18.899999999999999" customHeight="1">
      <c r="A10" s="79">
        <v>11</v>
      </c>
      <c r="B10" s="41">
        <v>10</v>
      </c>
      <c r="C10" s="42"/>
      <c r="D10" s="41">
        <v>31.9</v>
      </c>
      <c r="E10" s="42"/>
      <c r="F10" s="43">
        <v>-15.1</v>
      </c>
      <c r="G10" s="42"/>
      <c r="H10" s="44">
        <v>63</v>
      </c>
      <c r="I10" s="45"/>
      <c r="J10" s="46">
        <v>106</v>
      </c>
      <c r="K10" s="45"/>
      <c r="L10" s="41">
        <v>1.8</v>
      </c>
      <c r="M10" s="42"/>
      <c r="N10" s="74" t="s">
        <v>93</v>
      </c>
      <c r="O10" s="80">
        <v>1446</v>
      </c>
      <c r="P10" s="49"/>
      <c r="Q10" s="78">
        <v>101</v>
      </c>
      <c r="R10" s="50"/>
      <c r="S10" s="81">
        <v>1709</v>
      </c>
    </row>
    <row r="11" spans="1:19" s="11" customFormat="1" ht="18.899999999999999" customHeight="1">
      <c r="A11" s="79">
        <v>12</v>
      </c>
      <c r="B11" s="41">
        <v>9.6999999999999993</v>
      </c>
      <c r="C11" s="42"/>
      <c r="D11" s="41">
        <v>33.799999999999997</v>
      </c>
      <c r="E11" s="42"/>
      <c r="F11" s="43">
        <v>-14</v>
      </c>
      <c r="G11" s="42"/>
      <c r="H11" s="44">
        <v>55</v>
      </c>
      <c r="I11" s="45"/>
      <c r="J11" s="46">
        <v>122</v>
      </c>
      <c r="K11" s="45"/>
      <c r="L11" s="41">
        <v>1.8</v>
      </c>
      <c r="M11" s="42"/>
      <c r="N11" s="74" t="s">
        <v>94</v>
      </c>
      <c r="O11" s="80">
        <v>1345</v>
      </c>
      <c r="P11" s="49"/>
      <c r="Q11" s="78">
        <v>92</v>
      </c>
      <c r="R11" s="50"/>
      <c r="S11" s="81">
        <v>1689</v>
      </c>
    </row>
    <row r="12" spans="1:19" s="11" customFormat="1" ht="18.899999999999999" customHeight="1">
      <c r="A12" s="79">
        <v>13</v>
      </c>
      <c r="B12" s="41">
        <v>9.6</v>
      </c>
      <c r="C12" s="42"/>
      <c r="D12" s="41">
        <v>33.6</v>
      </c>
      <c r="E12" s="42"/>
      <c r="F12" s="43">
        <v>-17</v>
      </c>
      <c r="G12" s="42"/>
      <c r="H12" s="44">
        <v>54</v>
      </c>
      <c r="I12" s="45"/>
      <c r="J12" s="46">
        <v>83</v>
      </c>
      <c r="K12" s="45"/>
      <c r="L12" s="41">
        <v>1.8</v>
      </c>
      <c r="M12" s="42"/>
      <c r="N12" s="74" t="s">
        <v>95</v>
      </c>
      <c r="O12" s="80">
        <v>1342</v>
      </c>
      <c r="P12" s="49"/>
      <c r="Q12" s="78">
        <v>64</v>
      </c>
      <c r="R12" s="50"/>
      <c r="S12" s="81">
        <v>1727</v>
      </c>
    </row>
    <row r="13" spans="1:19" s="11" customFormat="1" ht="18.899999999999999" customHeight="1">
      <c r="A13" s="79">
        <v>14</v>
      </c>
      <c r="B13" s="41">
        <v>10.199999999999999</v>
      </c>
      <c r="C13" s="42"/>
      <c r="D13" s="41">
        <v>35</v>
      </c>
      <c r="E13" s="42"/>
      <c r="F13" s="43">
        <v>-15.1</v>
      </c>
      <c r="G13" s="42"/>
      <c r="H13" s="44">
        <v>47</v>
      </c>
      <c r="I13" s="45"/>
      <c r="J13" s="46">
        <v>106</v>
      </c>
      <c r="K13" s="45"/>
      <c r="L13" s="41">
        <v>1.8</v>
      </c>
      <c r="M13" s="42"/>
      <c r="N13" s="74" t="s">
        <v>90</v>
      </c>
      <c r="O13" s="80">
        <v>1418</v>
      </c>
      <c r="P13" s="49"/>
      <c r="Q13" s="78">
        <v>102</v>
      </c>
      <c r="R13" s="50"/>
      <c r="S13" s="81">
        <v>1686</v>
      </c>
    </row>
    <row r="14" spans="1:19" s="11" customFormat="1" ht="18.899999999999999" customHeight="1">
      <c r="A14" s="79">
        <v>15</v>
      </c>
      <c r="B14" s="41">
        <v>9.5</v>
      </c>
      <c r="C14" s="42"/>
      <c r="D14" s="41">
        <v>33.6</v>
      </c>
      <c r="E14" s="42"/>
      <c r="F14" s="43">
        <v>-17</v>
      </c>
      <c r="G14" s="42"/>
      <c r="H14" s="44">
        <v>51</v>
      </c>
      <c r="I14" s="45"/>
      <c r="J14" s="46">
        <v>91</v>
      </c>
      <c r="K14" s="45"/>
      <c r="L14" s="41">
        <v>1.7</v>
      </c>
      <c r="M14" s="42"/>
      <c r="N14" s="74" t="s">
        <v>96</v>
      </c>
      <c r="O14" s="80">
        <v>1414</v>
      </c>
      <c r="P14" s="49"/>
      <c r="Q14" s="78">
        <v>50</v>
      </c>
      <c r="R14" s="50"/>
      <c r="S14" s="81">
        <v>1581</v>
      </c>
    </row>
    <row r="15" spans="1:19" s="11" customFormat="1" ht="18.899999999999999" customHeight="1">
      <c r="A15" s="79">
        <v>16</v>
      </c>
      <c r="B15" s="41">
        <v>10.3</v>
      </c>
      <c r="C15" s="42"/>
      <c r="D15" s="41">
        <v>33.1</v>
      </c>
      <c r="E15" s="42"/>
      <c r="F15" s="43">
        <v>-14.6</v>
      </c>
      <c r="G15" s="42"/>
      <c r="H15" s="44">
        <v>56</v>
      </c>
      <c r="I15" s="45"/>
      <c r="J15" s="46">
        <v>94</v>
      </c>
      <c r="K15" s="45"/>
      <c r="L15" s="41">
        <v>1.8</v>
      </c>
      <c r="M15" s="42"/>
      <c r="N15" s="74" t="s">
        <v>97</v>
      </c>
      <c r="O15" s="80">
        <v>1744</v>
      </c>
      <c r="P15" s="49"/>
      <c r="Q15" s="78">
        <v>162</v>
      </c>
      <c r="R15" s="50"/>
      <c r="S15" s="81">
        <v>1783</v>
      </c>
    </row>
    <row r="16" spans="1:19" s="11" customFormat="1" ht="18.899999999999999" customHeight="1">
      <c r="A16" s="79">
        <v>17</v>
      </c>
      <c r="B16" s="41">
        <v>9.5</v>
      </c>
      <c r="C16" s="42"/>
      <c r="D16" s="41">
        <v>33.5</v>
      </c>
      <c r="E16" s="42"/>
      <c r="F16" s="43">
        <v>-14.8</v>
      </c>
      <c r="G16" s="42"/>
      <c r="H16" s="44">
        <v>49</v>
      </c>
      <c r="I16" s="45"/>
      <c r="J16" s="46">
        <v>110</v>
      </c>
      <c r="K16" s="45"/>
      <c r="L16" s="41">
        <v>1.8</v>
      </c>
      <c r="M16" s="42"/>
      <c r="N16" s="74" t="s">
        <v>98</v>
      </c>
      <c r="O16" s="80">
        <v>1261</v>
      </c>
      <c r="P16" s="49"/>
      <c r="Q16" s="78">
        <v>75</v>
      </c>
      <c r="R16" s="50"/>
      <c r="S16" s="81">
        <v>1593</v>
      </c>
    </row>
    <row r="17" spans="1:19" s="11" customFormat="1" ht="18.899999999999999" customHeight="1">
      <c r="A17" s="79">
        <v>18</v>
      </c>
      <c r="B17" s="41">
        <v>9.6</v>
      </c>
      <c r="C17" s="42"/>
      <c r="D17" s="41">
        <v>33.700000000000003</v>
      </c>
      <c r="E17" s="42"/>
      <c r="F17" s="43">
        <v>-15.9</v>
      </c>
      <c r="G17" s="42"/>
      <c r="H17" s="44">
        <v>53</v>
      </c>
      <c r="I17" s="45"/>
      <c r="J17" s="46">
        <v>126</v>
      </c>
      <c r="K17" s="45"/>
      <c r="L17" s="41">
        <v>1.7</v>
      </c>
      <c r="M17" s="42"/>
      <c r="N17" s="74" t="s">
        <v>99</v>
      </c>
      <c r="O17" s="80">
        <v>1604</v>
      </c>
      <c r="P17" s="49"/>
      <c r="Q17" s="78">
        <v>80</v>
      </c>
      <c r="R17" s="50"/>
      <c r="S17" s="81">
        <v>1581</v>
      </c>
    </row>
    <row r="18" spans="1:19" s="11" customFormat="1" ht="18.899999999999999" customHeight="1">
      <c r="A18" s="79">
        <v>19</v>
      </c>
      <c r="B18" s="41">
        <v>10.1</v>
      </c>
      <c r="C18" s="42"/>
      <c r="D18" s="41">
        <v>34.5</v>
      </c>
      <c r="E18" s="42"/>
      <c r="F18" s="43">
        <v>-11.7</v>
      </c>
      <c r="G18" s="42"/>
      <c r="H18" s="44">
        <v>63</v>
      </c>
      <c r="I18" s="45"/>
      <c r="J18" s="46">
        <v>99</v>
      </c>
      <c r="K18" s="45"/>
      <c r="L18" s="41">
        <v>1.8</v>
      </c>
      <c r="M18" s="42"/>
      <c r="N18" s="47" t="s">
        <v>100</v>
      </c>
      <c r="O18" s="80">
        <v>1107</v>
      </c>
      <c r="P18" s="49"/>
      <c r="Q18" s="78">
        <v>53</v>
      </c>
      <c r="R18" s="50"/>
      <c r="S18" s="51">
        <v>1694</v>
      </c>
    </row>
    <row r="19" spans="1:19" s="11" customFormat="1" ht="18.899999999999999" customHeight="1">
      <c r="A19" s="79">
        <v>20</v>
      </c>
      <c r="B19" s="41">
        <v>9.6</v>
      </c>
      <c r="C19" s="42"/>
      <c r="D19" s="41">
        <v>33.4</v>
      </c>
      <c r="E19" s="42"/>
      <c r="F19" s="43">
        <v>-15.6</v>
      </c>
      <c r="G19" s="42"/>
      <c r="H19" s="44">
        <v>64</v>
      </c>
      <c r="I19" s="45"/>
      <c r="J19" s="46">
        <v>95</v>
      </c>
      <c r="K19" s="45"/>
      <c r="L19" s="41">
        <v>1.9</v>
      </c>
      <c r="M19" s="42"/>
      <c r="N19" s="47" t="s">
        <v>101</v>
      </c>
      <c r="O19" s="48">
        <v>1208.5</v>
      </c>
      <c r="P19" s="49"/>
      <c r="Q19" s="43">
        <v>87.5</v>
      </c>
      <c r="R19" s="50"/>
      <c r="S19" s="51">
        <v>1863.8</v>
      </c>
    </row>
    <row r="20" spans="1:19" s="11" customFormat="1" ht="18.899999999999999" customHeight="1">
      <c r="A20" s="79">
        <v>21</v>
      </c>
      <c r="B20" s="41">
        <v>9.8000000000000007</v>
      </c>
      <c r="C20" s="42"/>
      <c r="D20" s="41">
        <v>31.9</v>
      </c>
      <c r="E20" s="42"/>
      <c r="F20" s="43">
        <v>-14.3</v>
      </c>
      <c r="G20" s="42"/>
      <c r="H20" s="44">
        <v>58</v>
      </c>
      <c r="I20" s="45"/>
      <c r="J20" s="46">
        <v>109</v>
      </c>
      <c r="K20" s="45"/>
      <c r="L20" s="41">
        <v>1.9</v>
      </c>
      <c r="M20" s="42"/>
      <c r="N20" s="74" t="s">
        <v>102</v>
      </c>
      <c r="O20" s="48">
        <v>1579</v>
      </c>
      <c r="P20" s="49"/>
      <c r="Q20" s="43">
        <v>64.5</v>
      </c>
      <c r="R20" s="50"/>
      <c r="S20" s="51">
        <v>1822.7</v>
      </c>
    </row>
    <row r="21" spans="1:19" s="11" customFormat="1" ht="18.899999999999999" customHeight="1">
      <c r="A21" s="79">
        <v>22</v>
      </c>
      <c r="B21" s="41">
        <v>10.1</v>
      </c>
      <c r="C21" s="42"/>
      <c r="D21" s="41">
        <v>33.9</v>
      </c>
      <c r="E21" s="42"/>
      <c r="F21" s="43">
        <v>-15.7</v>
      </c>
      <c r="G21" s="42"/>
      <c r="H21" s="44">
        <v>38</v>
      </c>
      <c r="I21" s="45"/>
      <c r="J21" s="46">
        <v>104</v>
      </c>
      <c r="K21" s="45"/>
      <c r="L21" s="41">
        <v>1.9</v>
      </c>
      <c r="M21" s="42"/>
      <c r="N21" s="47" t="s">
        <v>103</v>
      </c>
      <c r="O21" s="48">
        <v>1695.5</v>
      </c>
      <c r="P21" s="49"/>
      <c r="Q21" s="43">
        <v>74</v>
      </c>
      <c r="R21" s="50"/>
      <c r="S21" s="51">
        <v>1701.9</v>
      </c>
    </row>
    <row r="22" spans="1:19" s="11" customFormat="1" ht="18.899999999999999" customHeight="1">
      <c r="A22" s="40">
        <v>23</v>
      </c>
      <c r="B22" s="41">
        <v>9.3000000000000007</v>
      </c>
      <c r="C22" s="42"/>
      <c r="D22" s="41">
        <v>33.200000000000003</v>
      </c>
      <c r="E22" s="42"/>
      <c r="F22" s="43">
        <v>-14.9</v>
      </c>
      <c r="G22" s="42"/>
      <c r="H22" s="44" t="s">
        <v>69</v>
      </c>
      <c r="I22" s="45"/>
      <c r="J22" s="46" t="s">
        <v>69</v>
      </c>
      <c r="K22" s="45"/>
      <c r="L22" s="41">
        <v>2.1</v>
      </c>
      <c r="M22" s="42"/>
      <c r="N22" s="47" t="s">
        <v>70</v>
      </c>
      <c r="O22" s="48">
        <v>1582.5</v>
      </c>
      <c r="P22" s="49"/>
      <c r="Q22" s="43">
        <v>117</v>
      </c>
      <c r="R22" s="50"/>
      <c r="S22" s="51">
        <v>1812.9</v>
      </c>
    </row>
    <row r="23" spans="1:19" s="11" customFormat="1" ht="18.899999999999999" customHeight="1">
      <c r="A23" s="40">
        <v>24</v>
      </c>
      <c r="B23" s="41">
        <v>9.1999999999999993</v>
      </c>
      <c r="C23" s="42"/>
      <c r="D23" s="41">
        <v>34</v>
      </c>
      <c r="E23" s="42"/>
      <c r="F23" s="43">
        <v>-15.8</v>
      </c>
      <c r="G23" s="42"/>
      <c r="H23" s="44" t="s">
        <v>69</v>
      </c>
      <c r="I23" s="45"/>
      <c r="J23" s="46" t="s">
        <v>69</v>
      </c>
      <c r="K23" s="45"/>
      <c r="L23" s="41">
        <v>2</v>
      </c>
      <c r="M23" s="42"/>
      <c r="N23" s="47" t="s">
        <v>71</v>
      </c>
      <c r="O23" s="48">
        <v>1230.5</v>
      </c>
      <c r="P23" s="49"/>
      <c r="Q23" s="43">
        <v>53.5</v>
      </c>
      <c r="R23" s="50"/>
      <c r="S23" s="51">
        <v>1814</v>
      </c>
    </row>
    <row r="24" spans="1:19" s="11" customFormat="1" ht="18.899999999999999" customHeight="1">
      <c r="A24" s="40">
        <v>25</v>
      </c>
      <c r="B24" s="41">
        <v>9.6</v>
      </c>
      <c r="C24" s="42"/>
      <c r="D24" s="43">
        <v>33.700000000000003</v>
      </c>
      <c r="E24" s="42"/>
      <c r="F24" s="43">
        <v>-16.2</v>
      </c>
      <c r="G24" s="42"/>
      <c r="H24" s="46" t="s">
        <v>69</v>
      </c>
      <c r="I24" s="45"/>
      <c r="J24" s="46" t="s">
        <v>69</v>
      </c>
      <c r="K24" s="45"/>
      <c r="L24" s="43">
        <v>2.2000000000000002</v>
      </c>
      <c r="M24" s="42"/>
      <c r="N24" s="42" t="s">
        <v>72</v>
      </c>
      <c r="O24" s="48">
        <v>1397.5</v>
      </c>
      <c r="P24" s="49"/>
      <c r="Q24" s="43">
        <v>104</v>
      </c>
      <c r="R24" s="52"/>
      <c r="S24" s="51">
        <v>2014.5</v>
      </c>
    </row>
    <row r="25" spans="1:19" s="11" customFormat="1" ht="18.899999999999999" customHeight="1">
      <c r="A25" s="40">
        <v>26</v>
      </c>
      <c r="B25" s="41">
        <v>9.3000000000000007</v>
      </c>
      <c r="C25" s="42"/>
      <c r="D25" s="43">
        <v>33.9</v>
      </c>
      <c r="E25" s="42"/>
      <c r="F25" s="43">
        <v>-15.4</v>
      </c>
      <c r="G25" s="42"/>
      <c r="H25" s="46" t="s">
        <v>73</v>
      </c>
      <c r="I25" s="45"/>
      <c r="J25" s="46" t="s">
        <v>73</v>
      </c>
      <c r="K25" s="45"/>
      <c r="L25" s="43">
        <v>2.1</v>
      </c>
      <c r="M25" s="42"/>
      <c r="N25" s="42" t="s">
        <v>74</v>
      </c>
      <c r="O25" s="48">
        <v>1531</v>
      </c>
      <c r="P25" s="49"/>
      <c r="Q25" s="43">
        <v>59</v>
      </c>
      <c r="R25" s="52"/>
      <c r="S25" s="51">
        <v>1902.4</v>
      </c>
    </row>
    <row r="26" spans="1:19" s="11" customFormat="1" ht="18.899999999999999" customHeight="1">
      <c r="A26" s="40">
        <v>27</v>
      </c>
      <c r="B26" s="41">
        <v>10.1</v>
      </c>
      <c r="C26" s="42"/>
      <c r="D26" s="43">
        <v>34.200000000000003</v>
      </c>
      <c r="E26" s="42"/>
      <c r="F26" s="43">
        <v>-15.5</v>
      </c>
      <c r="G26" s="42"/>
      <c r="H26" s="46" t="s">
        <v>73</v>
      </c>
      <c r="I26" s="45"/>
      <c r="J26" s="46" t="s">
        <v>73</v>
      </c>
      <c r="K26" s="45"/>
      <c r="L26" s="43">
        <v>2</v>
      </c>
      <c r="M26" s="42"/>
      <c r="N26" s="42" t="s">
        <v>75</v>
      </c>
      <c r="O26" s="48">
        <v>1472</v>
      </c>
      <c r="P26" s="49"/>
      <c r="Q26" s="43">
        <v>64</v>
      </c>
      <c r="R26" s="52"/>
      <c r="S26" s="51">
        <v>1872.7</v>
      </c>
    </row>
    <row r="27" spans="1:19" s="11" customFormat="1" ht="18.899999999999999" customHeight="1">
      <c r="A27" s="40">
        <v>28</v>
      </c>
      <c r="B27" s="41">
        <v>10.5</v>
      </c>
      <c r="C27" s="42"/>
      <c r="D27" s="43">
        <v>33.700000000000003</v>
      </c>
      <c r="E27" s="42"/>
      <c r="F27" s="43">
        <v>-15.8</v>
      </c>
      <c r="G27" s="42"/>
      <c r="H27" s="46" t="s">
        <v>73</v>
      </c>
      <c r="I27" s="45"/>
      <c r="J27" s="46" t="s">
        <v>73</v>
      </c>
      <c r="K27" s="45"/>
      <c r="L27" s="43">
        <v>2</v>
      </c>
      <c r="M27" s="42"/>
      <c r="N27" s="42" t="s">
        <v>76</v>
      </c>
      <c r="O27" s="48">
        <v>1414.5</v>
      </c>
      <c r="P27" s="49"/>
      <c r="Q27" s="43">
        <v>72</v>
      </c>
      <c r="R27" s="52"/>
      <c r="S27" s="51">
        <v>1870.5</v>
      </c>
    </row>
    <row r="28" spans="1:19" s="11" customFormat="1" ht="18.899999999999999" customHeight="1">
      <c r="A28" s="40">
        <v>29</v>
      </c>
      <c r="B28" s="41">
        <v>10.6</v>
      </c>
      <c r="C28" s="42"/>
      <c r="D28" s="43">
        <v>34.6</v>
      </c>
      <c r="E28" s="42"/>
      <c r="F28" s="43">
        <v>-12.4</v>
      </c>
      <c r="G28" s="42"/>
      <c r="H28" s="46" t="s">
        <v>73</v>
      </c>
      <c r="I28" s="45"/>
      <c r="J28" s="46" t="s">
        <v>73</v>
      </c>
      <c r="K28" s="45"/>
      <c r="L28" s="43">
        <v>1.1000000000000001</v>
      </c>
      <c r="M28" s="42"/>
      <c r="N28" s="42" t="s">
        <v>77</v>
      </c>
      <c r="O28" s="48">
        <v>1006</v>
      </c>
      <c r="P28" s="49"/>
      <c r="Q28" s="43">
        <v>76.5</v>
      </c>
      <c r="R28" s="52"/>
      <c r="S28" s="51">
        <v>1878.2</v>
      </c>
    </row>
    <row r="29" spans="1:19" s="11" customFormat="1" ht="18.899999999999999" customHeight="1">
      <c r="A29" s="40">
        <v>30</v>
      </c>
      <c r="B29" s="41">
        <v>10.5</v>
      </c>
      <c r="C29" s="42"/>
      <c r="D29" s="43">
        <v>35.5</v>
      </c>
      <c r="E29" s="42"/>
      <c r="F29" s="43">
        <v>-14.2</v>
      </c>
      <c r="G29" s="42"/>
      <c r="H29" s="46" t="s">
        <v>73</v>
      </c>
      <c r="I29" s="45"/>
      <c r="J29" s="46" t="s">
        <v>73</v>
      </c>
      <c r="K29" s="45"/>
      <c r="L29" s="43">
        <v>2.1</v>
      </c>
      <c r="M29" s="42"/>
      <c r="N29" s="42" t="s">
        <v>78</v>
      </c>
      <c r="O29" s="48">
        <v>1421.5</v>
      </c>
      <c r="P29" s="49"/>
      <c r="Q29" s="43">
        <v>131</v>
      </c>
      <c r="R29" s="52"/>
      <c r="S29" s="51">
        <v>2011.6</v>
      </c>
    </row>
    <row r="30" spans="1:19" s="11" customFormat="1" ht="18.899999999999999" customHeight="1">
      <c r="A30" s="40" t="s">
        <v>79</v>
      </c>
      <c r="B30" s="41">
        <v>10.3</v>
      </c>
      <c r="C30" s="42"/>
      <c r="D30" s="43">
        <v>34</v>
      </c>
      <c r="E30" s="42"/>
      <c r="F30" s="43">
        <v>-14.5</v>
      </c>
      <c r="G30" s="42"/>
      <c r="H30" s="46" t="s">
        <v>73</v>
      </c>
      <c r="I30" s="45"/>
      <c r="J30" s="46" t="s">
        <v>73</v>
      </c>
      <c r="K30" s="45"/>
      <c r="L30" s="43">
        <v>2</v>
      </c>
      <c r="M30" s="42"/>
      <c r="N30" s="42" t="s">
        <v>80</v>
      </c>
      <c r="O30" s="48">
        <v>1308.5</v>
      </c>
      <c r="P30" s="49"/>
      <c r="Q30" s="43">
        <v>93.5</v>
      </c>
      <c r="R30" s="52"/>
      <c r="S30" s="51">
        <v>1826.8</v>
      </c>
    </row>
    <row r="31" spans="1:19" s="11" customFormat="1" ht="18.899999999999999" customHeight="1">
      <c r="A31" s="53">
        <v>2</v>
      </c>
      <c r="B31" s="54">
        <v>10.5</v>
      </c>
      <c r="C31" s="55"/>
      <c r="D31" s="56">
        <v>34.700000000000003</v>
      </c>
      <c r="E31" s="55"/>
      <c r="F31" s="56">
        <v>-12.8</v>
      </c>
      <c r="G31" s="55"/>
      <c r="H31" s="46" t="s">
        <v>73</v>
      </c>
      <c r="I31" s="57"/>
      <c r="J31" s="46" t="s">
        <v>73</v>
      </c>
      <c r="K31" s="57"/>
      <c r="L31" s="56">
        <v>2.1</v>
      </c>
      <c r="M31" s="55"/>
      <c r="N31" s="55" t="s">
        <v>81</v>
      </c>
      <c r="O31" s="58">
        <v>1421.5</v>
      </c>
      <c r="P31" s="59"/>
      <c r="Q31" s="56">
        <v>69</v>
      </c>
      <c r="R31" s="60"/>
      <c r="S31" s="61">
        <v>1774.2</v>
      </c>
    </row>
    <row r="32" spans="1:19" s="11" customFormat="1" ht="18.899999999999999" customHeight="1">
      <c r="A32" s="53">
        <v>3</v>
      </c>
      <c r="B32" s="54">
        <v>10.3</v>
      </c>
      <c r="C32" s="55"/>
      <c r="D32" s="56">
        <v>34.299999999999997</v>
      </c>
      <c r="E32" s="55"/>
      <c r="F32" s="56">
        <v>-12.2</v>
      </c>
      <c r="G32" s="55"/>
      <c r="H32" s="46" t="s">
        <v>73</v>
      </c>
      <c r="I32" s="57"/>
      <c r="J32" s="46" t="s">
        <v>73</v>
      </c>
      <c r="K32" s="57"/>
      <c r="L32" s="56">
        <v>2.1</v>
      </c>
      <c r="M32" s="55"/>
      <c r="N32" s="55" t="s">
        <v>82</v>
      </c>
      <c r="O32" s="62">
        <v>1559</v>
      </c>
      <c r="P32" s="63"/>
      <c r="Q32" s="56">
        <v>96</v>
      </c>
      <c r="R32" s="60"/>
      <c r="S32" s="64">
        <v>1572.1</v>
      </c>
    </row>
    <row r="33" spans="1:19" s="11" customFormat="1" ht="18.899999999999999" customHeight="1">
      <c r="A33" s="53">
        <v>4</v>
      </c>
      <c r="B33" s="54">
        <v>10</v>
      </c>
      <c r="C33" s="55"/>
      <c r="D33" s="56">
        <v>34.6</v>
      </c>
      <c r="E33" s="55"/>
      <c r="F33" s="56">
        <v>-15.7</v>
      </c>
      <c r="G33" s="55"/>
      <c r="H33" s="46" t="s">
        <v>73</v>
      </c>
      <c r="I33" s="57"/>
      <c r="J33" s="46" t="s">
        <v>73</v>
      </c>
      <c r="K33" s="57"/>
      <c r="L33" s="56">
        <v>2</v>
      </c>
      <c r="M33" s="55"/>
      <c r="N33" s="55" t="s">
        <v>83</v>
      </c>
      <c r="O33" s="62">
        <v>1307.5</v>
      </c>
      <c r="P33" s="63"/>
      <c r="Q33" s="56">
        <v>70.5</v>
      </c>
      <c r="R33" s="60"/>
      <c r="S33" s="64">
        <v>1792.1</v>
      </c>
    </row>
    <row r="34" spans="1:19" s="11" customFormat="1" ht="18.899999999999999" customHeight="1">
      <c r="A34" s="53">
        <v>5</v>
      </c>
      <c r="B34" s="54">
        <v>10.9</v>
      </c>
      <c r="C34" s="55"/>
      <c r="D34" s="56">
        <v>34</v>
      </c>
      <c r="E34" s="55"/>
      <c r="F34" s="56">
        <v>-15.3</v>
      </c>
      <c r="G34" s="55"/>
      <c r="H34" s="46" t="s">
        <v>73</v>
      </c>
      <c r="I34" s="57"/>
      <c r="J34" s="46" t="s">
        <v>73</v>
      </c>
      <c r="K34" s="57"/>
      <c r="L34" s="56">
        <v>2.1</v>
      </c>
      <c r="M34" s="55"/>
      <c r="N34" s="55" t="s">
        <v>84</v>
      </c>
      <c r="O34" s="62">
        <v>1101.5</v>
      </c>
      <c r="P34" s="63"/>
      <c r="Q34" s="56">
        <v>67.5</v>
      </c>
      <c r="R34" s="60"/>
      <c r="S34" s="64">
        <v>2068</v>
      </c>
    </row>
    <row r="35" spans="1:19" s="11" customFormat="1" ht="18.899999999999999" customHeight="1" thickBot="1">
      <c r="A35" s="65"/>
      <c r="B35" s="66"/>
      <c r="C35" s="67"/>
      <c r="D35" s="68"/>
      <c r="E35" s="67"/>
      <c r="F35" s="68"/>
      <c r="G35" s="67"/>
      <c r="H35" s="851"/>
      <c r="I35" s="69"/>
      <c r="J35" s="851"/>
      <c r="K35" s="69"/>
      <c r="L35" s="68"/>
      <c r="M35" s="67"/>
      <c r="N35" s="67"/>
      <c r="O35" s="70"/>
      <c r="P35" s="71"/>
      <c r="Q35" s="68"/>
      <c r="R35" s="72"/>
      <c r="S35" s="73"/>
    </row>
    <row r="36" spans="1:19" s="11" customFormat="1" ht="18.899999999999999" customHeight="1">
      <c r="A36" s="11" t="s">
        <v>85</v>
      </c>
      <c r="B36" s="43"/>
      <c r="C36" s="74"/>
      <c r="D36" s="43"/>
      <c r="E36" s="74"/>
      <c r="F36" s="43"/>
      <c r="G36" s="74"/>
      <c r="H36" s="46"/>
      <c r="I36" s="75"/>
      <c r="J36" s="46"/>
      <c r="K36" s="75"/>
      <c r="L36" s="43"/>
      <c r="M36" s="74"/>
      <c r="N36" s="74"/>
      <c r="O36" s="76"/>
      <c r="P36" s="77"/>
      <c r="Q36" s="78"/>
      <c r="R36" s="50"/>
      <c r="S36" s="77"/>
    </row>
    <row r="37" spans="1:19" s="11" customFormat="1" ht="18.899999999999999" customHeight="1">
      <c r="A37" s="11" t="s">
        <v>86</v>
      </c>
    </row>
    <row r="38" spans="1:19" s="11" customFormat="1" ht="18" customHeight="1">
      <c r="A38" s="11" t="s">
        <v>87</v>
      </c>
      <c r="B38" s="2"/>
      <c r="C38" s="2"/>
      <c r="D38" s="2"/>
      <c r="E38" s="2"/>
      <c r="F38" s="2"/>
      <c r="G38" s="2"/>
      <c r="H38" s="2"/>
      <c r="I38" s="2"/>
      <c r="J38" s="2"/>
      <c r="K38" s="2"/>
      <c r="L38" s="2"/>
      <c r="M38" s="2"/>
      <c r="N38" s="2"/>
      <c r="O38" s="2"/>
      <c r="P38" s="2"/>
      <c r="Q38" s="2"/>
      <c r="R38" s="2"/>
      <c r="S38" s="2"/>
    </row>
    <row r="39" spans="1:19" s="11" customFormat="1" ht="18.899999999999999" customHeight="1">
      <c r="A39" s="2"/>
    </row>
    <row r="40" spans="1:19" s="11" customFormat="1" ht="18" customHeight="1">
      <c r="A40" s="2"/>
      <c r="B40" s="2"/>
      <c r="C40" s="2"/>
      <c r="D40" s="2"/>
      <c r="E40" s="2"/>
      <c r="F40" s="2"/>
      <c r="G40" s="2"/>
      <c r="H40" s="2"/>
      <c r="I40" s="2"/>
      <c r="J40" s="2"/>
      <c r="K40" s="2"/>
      <c r="L40" s="2"/>
      <c r="M40" s="2"/>
      <c r="N40" s="2"/>
      <c r="O40" s="2"/>
      <c r="P40" s="2"/>
      <c r="Q40" s="2"/>
      <c r="R40" s="2"/>
      <c r="S40" s="2"/>
    </row>
    <row r="42" spans="1:19" ht="18.75" customHeight="1"/>
    <row r="43" spans="1:19" ht="18.75" customHeight="1"/>
    <row r="44" spans="1:19" ht="18.75" customHeight="1"/>
    <row r="45" spans="1:19" ht="18.75" customHeight="1"/>
    <row r="46" spans="1:19" ht="18.75" customHeight="1"/>
    <row r="47" spans="1:19" ht="18.75" customHeight="1"/>
    <row r="48" spans="1: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sheetData>
  <mergeCells count="15">
    <mergeCell ref="A2:A4"/>
    <mergeCell ref="B2:G2"/>
    <mergeCell ref="H2:K2"/>
    <mergeCell ref="L2:N2"/>
    <mergeCell ref="S2:S4"/>
    <mergeCell ref="B3:C4"/>
    <mergeCell ref="D3:E4"/>
    <mergeCell ref="F3:G4"/>
    <mergeCell ref="H3:I4"/>
    <mergeCell ref="J3:K4"/>
    <mergeCell ref="L3:M4"/>
    <mergeCell ref="N3:N4"/>
    <mergeCell ref="O3:P4"/>
    <mergeCell ref="Q3:R4"/>
    <mergeCell ref="O2:R2"/>
  </mergeCells>
  <phoneticPr fontId="4"/>
  <printOptions horizontalCentered="1"/>
  <pageMargins left="0.70866141732283472" right="0.70866141732283472" top="0.74803149606299213" bottom="0.74803149606299213" header="0.31496062992125984" footer="0.31496062992125984"/>
  <pageSetup paperSize="9" scale="95" fitToHeight="0"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061EF-EFDF-4EC2-9559-5A1BEC79B5CE}">
  <sheetPr codeName="Sheet120"/>
  <dimension ref="A1:M11"/>
  <sheetViews>
    <sheetView workbookViewId="0"/>
  </sheetViews>
  <sheetFormatPr defaultColWidth="8.09765625" defaultRowHeight="10.8"/>
  <cols>
    <col min="1" max="1" width="6.8984375" style="1236" customWidth="1"/>
    <col min="2" max="3" width="5.69921875" style="1236" customWidth="1"/>
    <col min="4" max="4" width="6.59765625" style="1236" customWidth="1"/>
    <col min="5" max="5" width="5.69921875" style="1236" customWidth="1"/>
    <col min="6" max="13" width="5.3984375" style="1236" customWidth="1"/>
    <col min="14" max="16384" width="8.09765625" style="1236"/>
  </cols>
  <sheetData>
    <row r="1" spans="1:13" ht="30" customHeight="1" thickBot="1">
      <c r="A1" s="1481" t="s">
        <v>3421</v>
      </c>
      <c r="B1" s="1481"/>
      <c r="C1" s="1481"/>
      <c r="D1" s="1481"/>
      <c r="E1" s="1481"/>
      <c r="F1" s="1481"/>
      <c r="I1" s="2645" t="s">
        <v>3715</v>
      </c>
      <c r="J1" s="2645"/>
      <c r="K1" s="2645"/>
      <c r="L1" s="2645"/>
      <c r="M1" s="2645"/>
    </row>
    <row r="2" spans="1:13" ht="19.8" customHeight="1">
      <c r="A2" s="2393" t="s">
        <v>349</v>
      </c>
      <c r="B2" s="2389" t="s">
        <v>3422</v>
      </c>
      <c r="C2" s="2389"/>
      <c r="D2" s="2389"/>
      <c r="E2" s="2389"/>
      <c r="F2" s="2389"/>
      <c r="G2" s="2390" t="s">
        <v>3423</v>
      </c>
      <c r="H2" s="2395"/>
      <c r="I2" s="2395"/>
      <c r="J2" s="2395"/>
      <c r="K2" s="2395"/>
      <c r="L2" s="2395"/>
      <c r="M2" s="2395"/>
    </row>
    <row r="3" spans="1:13" ht="35.4" customHeight="1">
      <c r="A3" s="2443"/>
      <c r="B3" s="2646" t="s">
        <v>3424</v>
      </c>
      <c r="C3" s="2646"/>
      <c r="D3" s="2646" t="s">
        <v>3425</v>
      </c>
      <c r="E3" s="2646"/>
      <c r="F3" s="2647" t="s">
        <v>3426</v>
      </c>
      <c r="G3" s="2648" t="s">
        <v>3427</v>
      </c>
      <c r="H3" s="2650" t="s">
        <v>3428</v>
      </c>
      <c r="I3" s="2652" t="s">
        <v>3429</v>
      </c>
      <c r="J3" s="2652" t="s">
        <v>3430</v>
      </c>
      <c r="K3" s="2652" t="s">
        <v>3431</v>
      </c>
      <c r="L3" s="2652" t="s">
        <v>3432</v>
      </c>
      <c r="M3" s="2653" t="s">
        <v>3433</v>
      </c>
    </row>
    <row r="4" spans="1:13" ht="35.4" customHeight="1">
      <c r="A4" s="2443"/>
      <c r="B4" s="1272" t="s">
        <v>3434</v>
      </c>
      <c r="C4" s="1272" t="s">
        <v>3435</v>
      </c>
      <c r="D4" s="1928" t="s">
        <v>3436</v>
      </c>
      <c r="E4" s="1272" t="s">
        <v>3435</v>
      </c>
      <c r="F4" s="2647"/>
      <c r="G4" s="2649"/>
      <c r="H4" s="2651"/>
      <c r="I4" s="2652"/>
      <c r="J4" s="2652"/>
      <c r="K4" s="2652"/>
      <c r="L4" s="2652"/>
      <c r="M4" s="2653"/>
    </row>
    <row r="5" spans="1:13" ht="19.8" customHeight="1">
      <c r="A5" s="1646" t="s">
        <v>367</v>
      </c>
      <c r="B5" s="1648">
        <v>1</v>
      </c>
      <c r="C5" s="1648">
        <v>199</v>
      </c>
      <c r="D5" s="1648">
        <v>29</v>
      </c>
      <c r="E5" s="1648">
        <v>0</v>
      </c>
      <c r="F5" s="1648">
        <v>11</v>
      </c>
      <c r="G5" s="1648">
        <v>59</v>
      </c>
      <c r="H5" s="1648">
        <v>16</v>
      </c>
      <c r="I5" s="1648">
        <v>45</v>
      </c>
      <c r="J5" s="1648">
        <v>28</v>
      </c>
      <c r="K5" s="1648">
        <v>13</v>
      </c>
      <c r="L5" s="1648">
        <v>276</v>
      </c>
      <c r="M5" s="1649">
        <v>34</v>
      </c>
    </row>
    <row r="6" spans="1:13" ht="19.8" customHeight="1">
      <c r="A6" s="1646">
        <v>3</v>
      </c>
      <c r="B6" s="1648">
        <v>1</v>
      </c>
      <c r="C6" s="1648">
        <v>199</v>
      </c>
      <c r="D6" s="1648">
        <v>27</v>
      </c>
      <c r="E6" s="1648">
        <v>0</v>
      </c>
      <c r="F6" s="1648">
        <v>11</v>
      </c>
      <c r="G6" s="1648" t="s">
        <v>73</v>
      </c>
      <c r="H6" s="1648" t="s">
        <v>73</v>
      </c>
      <c r="I6" s="1648" t="s">
        <v>73</v>
      </c>
      <c r="J6" s="1648" t="s">
        <v>73</v>
      </c>
      <c r="K6" s="1648" t="s">
        <v>73</v>
      </c>
      <c r="L6" s="1648" t="s">
        <v>73</v>
      </c>
      <c r="M6" s="1649" t="s">
        <v>73</v>
      </c>
    </row>
    <row r="7" spans="1:13" ht="19.8" customHeight="1">
      <c r="A7" s="1646">
        <v>4</v>
      </c>
      <c r="B7" s="1648">
        <v>1</v>
      </c>
      <c r="C7" s="1648">
        <v>199</v>
      </c>
      <c r="D7" s="1648">
        <v>25</v>
      </c>
      <c r="E7" s="1648">
        <v>0</v>
      </c>
      <c r="F7" s="1648">
        <v>11</v>
      </c>
      <c r="G7" s="1648">
        <v>54</v>
      </c>
      <c r="H7" s="1648">
        <v>17</v>
      </c>
      <c r="I7" s="1648">
        <v>51</v>
      </c>
      <c r="J7" s="1648">
        <v>33</v>
      </c>
      <c r="K7" s="1648">
        <v>2</v>
      </c>
      <c r="L7" s="1648">
        <v>286</v>
      </c>
      <c r="M7" s="1649">
        <v>27</v>
      </c>
    </row>
    <row r="8" spans="1:13" ht="19.8" customHeight="1">
      <c r="A8" s="1646">
        <v>5</v>
      </c>
      <c r="B8" s="1648">
        <v>1</v>
      </c>
      <c r="C8" s="1648">
        <v>199</v>
      </c>
      <c r="D8" s="1648">
        <v>25</v>
      </c>
      <c r="E8" s="1648">
        <v>0</v>
      </c>
      <c r="F8" s="1648">
        <v>11</v>
      </c>
      <c r="G8" s="1648" t="s">
        <v>73</v>
      </c>
      <c r="H8" s="1648" t="s">
        <v>73</v>
      </c>
      <c r="I8" s="1648" t="s">
        <v>73</v>
      </c>
      <c r="J8" s="1648" t="s">
        <v>73</v>
      </c>
      <c r="K8" s="1648" t="s">
        <v>73</v>
      </c>
      <c r="L8" s="1648" t="s">
        <v>73</v>
      </c>
      <c r="M8" s="1649" t="s">
        <v>73</v>
      </c>
    </row>
    <row r="9" spans="1:13" ht="19.8" customHeight="1" thickBot="1">
      <c r="A9" s="1601"/>
      <c r="B9" s="1505"/>
      <c r="C9" s="1505"/>
      <c r="D9" s="1505"/>
      <c r="E9" s="1505"/>
      <c r="F9" s="1505"/>
      <c r="G9" s="1505"/>
      <c r="H9" s="1505"/>
      <c r="I9" s="1505"/>
      <c r="J9" s="1505"/>
      <c r="K9" s="1505"/>
      <c r="L9" s="1505"/>
      <c r="M9" s="1929"/>
    </row>
    <row r="10" spans="1:13" ht="16.8" customHeight="1">
      <c r="A10" s="1236" t="s">
        <v>3437</v>
      </c>
      <c r="I10" s="1473"/>
    </row>
    <row r="11" spans="1:13" ht="16.8" customHeight="1">
      <c r="A11" s="1236" t="s">
        <v>3438</v>
      </c>
    </row>
  </sheetData>
  <mergeCells count="14">
    <mergeCell ref="I1:M1"/>
    <mergeCell ref="A2:A4"/>
    <mergeCell ref="B2:F2"/>
    <mergeCell ref="G2:M2"/>
    <mergeCell ref="B3:C3"/>
    <mergeCell ref="D3:E3"/>
    <mergeCell ref="F3:F4"/>
    <mergeCell ref="G3:G4"/>
    <mergeCell ref="H3:H4"/>
    <mergeCell ref="I3:I4"/>
    <mergeCell ref="J3:J4"/>
    <mergeCell ref="K3:K4"/>
    <mergeCell ref="L3:L4"/>
    <mergeCell ref="M3:M4"/>
  </mergeCells>
  <phoneticPr fontId="4"/>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9E74-C747-4A86-B6D9-0AAF179F6206}">
  <sheetPr codeName="Sheet121"/>
  <dimension ref="A1:F18"/>
  <sheetViews>
    <sheetView workbookViewId="0"/>
  </sheetViews>
  <sheetFormatPr defaultColWidth="8.09765625" defaultRowHeight="10.8"/>
  <cols>
    <col min="1" max="1" width="16.09765625" style="1236" customWidth="1"/>
    <col min="2" max="6" width="5.69921875" style="1236" customWidth="1"/>
    <col min="7" max="16384" width="8.09765625" style="1236"/>
  </cols>
  <sheetData>
    <row r="1" spans="1:6" ht="30" customHeight="1" thickBot="1">
      <c r="A1" s="1481" t="s">
        <v>3439</v>
      </c>
    </row>
    <row r="2" spans="1:6" ht="32.4">
      <c r="A2" s="1930" t="s">
        <v>3440</v>
      </c>
      <c r="B2" s="1432" t="s">
        <v>3441</v>
      </c>
      <c r="C2" s="1432" t="s">
        <v>3442</v>
      </c>
      <c r="D2" s="1931" t="s">
        <v>3443</v>
      </c>
      <c r="E2" s="1432"/>
      <c r="F2" s="1433"/>
    </row>
    <row r="3" spans="1:6">
      <c r="B3" s="1275" t="s">
        <v>167</v>
      </c>
      <c r="C3" s="1275" t="s">
        <v>167</v>
      </c>
      <c r="D3" s="1473" t="s">
        <v>167</v>
      </c>
      <c r="E3" s="1275"/>
      <c r="F3" s="1274"/>
    </row>
    <row r="4" spans="1:6" ht="19.8" customHeight="1">
      <c r="A4" s="1454" t="s">
        <v>3444</v>
      </c>
      <c r="B4" s="1241">
        <v>1</v>
      </c>
      <c r="C4" s="1241" t="s">
        <v>431</v>
      </c>
      <c r="D4" s="1236">
        <v>1</v>
      </c>
      <c r="E4" s="1241"/>
      <c r="F4" s="1932"/>
    </row>
    <row r="5" spans="1:6" ht="19.8" customHeight="1">
      <c r="A5" s="1454" t="s">
        <v>3445</v>
      </c>
      <c r="B5" s="1241">
        <v>114</v>
      </c>
      <c r="C5" s="1241">
        <v>91</v>
      </c>
      <c r="D5" s="1236">
        <v>114</v>
      </c>
      <c r="E5" s="1241"/>
      <c r="F5" s="1932"/>
    </row>
    <row r="6" spans="1:6" ht="19.8" customHeight="1">
      <c r="A6" s="1454" t="s">
        <v>3446</v>
      </c>
      <c r="B6" s="1241">
        <v>4</v>
      </c>
      <c r="C6" s="1241">
        <v>3</v>
      </c>
      <c r="D6" s="1236">
        <v>2</v>
      </c>
      <c r="E6" s="1241"/>
      <c r="F6" s="1932"/>
    </row>
    <row r="7" spans="1:6" ht="19.8" customHeight="1">
      <c r="A7" s="1454" t="s">
        <v>3447</v>
      </c>
      <c r="B7" s="1241">
        <v>1</v>
      </c>
      <c r="C7" s="1241">
        <v>7</v>
      </c>
      <c r="D7" s="1236">
        <v>2</v>
      </c>
      <c r="E7" s="1241"/>
      <c r="F7" s="1932"/>
    </row>
    <row r="8" spans="1:6" ht="19.8" customHeight="1">
      <c r="A8" s="1454" t="s">
        <v>3448</v>
      </c>
      <c r="B8" s="1241">
        <v>55</v>
      </c>
      <c r="C8" s="1241">
        <v>52</v>
      </c>
      <c r="D8" s="1236">
        <v>60</v>
      </c>
      <c r="E8" s="1241"/>
      <c r="F8" s="1932"/>
    </row>
    <row r="9" spans="1:6" ht="19.8" customHeight="1">
      <c r="A9" s="1454" t="s">
        <v>3449</v>
      </c>
      <c r="B9" s="1241">
        <v>45</v>
      </c>
      <c r="C9" s="1241">
        <v>33</v>
      </c>
      <c r="D9" s="1236">
        <v>32</v>
      </c>
      <c r="E9" s="1241"/>
      <c r="F9" s="1932"/>
    </row>
    <row r="10" spans="1:6" ht="19.8" customHeight="1">
      <c r="A10" s="1454" t="s">
        <v>3450</v>
      </c>
      <c r="B10" s="1241">
        <v>15</v>
      </c>
      <c r="C10" s="1241">
        <v>12</v>
      </c>
      <c r="D10" s="1236">
        <v>4</v>
      </c>
      <c r="E10" s="1241"/>
      <c r="F10" s="1932"/>
    </row>
    <row r="11" spans="1:6" ht="19.8" customHeight="1">
      <c r="A11" s="1454" t="s">
        <v>3451</v>
      </c>
      <c r="B11" s="1241">
        <v>5</v>
      </c>
      <c r="C11" s="1241">
        <v>6</v>
      </c>
      <c r="D11" s="1236">
        <v>3</v>
      </c>
      <c r="E11" s="1241"/>
      <c r="F11" s="1932"/>
    </row>
    <row r="12" spans="1:6" ht="19.8" customHeight="1">
      <c r="A12" s="1454" t="s">
        <v>3452</v>
      </c>
      <c r="B12" s="1275" t="s">
        <v>305</v>
      </c>
      <c r="C12" s="1275">
        <v>1</v>
      </c>
      <c r="D12" s="1473" t="s">
        <v>431</v>
      </c>
      <c r="E12" s="1275"/>
      <c r="F12" s="1274"/>
    </row>
    <row r="13" spans="1:6" ht="19.8" customHeight="1">
      <c r="A13" s="1454" t="s">
        <v>3453</v>
      </c>
      <c r="B13" s="1241">
        <v>6</v>
      </c>
      <c r="C13" s="1241">
        <v>4</v>
      </c>
      <c r="D13" s="1236">
        <v>2</v>
      </c>
      <c r="E13" s="1241"/>
      <c r="F13" s="1932"/>
    </row>
    <row r="14" spans="1:6" ht="19.8" customHeight="1">
      <c r="A14" s="1454" t="s">
        <v>3454</v>
      </c>
      <c r="B14" s="1241">
        <v>3</v>
      </c>
      <c r="C14" s="1241">
        <v>7</v>
      </c>
      <c r="D14" s="1236">
        <v>3</v>
      </c>
      <c r="E14" s="1241"/>
      <c r="F14" s="1932"/>
    </row>
    <row r="15" spans="1:6" ht="19.8" customHeight="1">
      <c r="A15" s="1454" t="s">
        <v>3455</v>
      </c>
      <c r="B15" s="1241">
        <v>38</v>
      </c>
      <c r="C15" s="1241">
        <v>38</v>
      </c>
      <c r="D15" s="1236">
        <v>44</v>
      </c>
      <c r="E15" s="1241"/>
      <c r="F15" s="1932"/>
    </row>
    <row r="16" spans="1:6" ht="19.8" customHeight="1">
      <c r="A16" s="1454" t="s">
        <v>3456</v>
      </c>
      <c r="B16" s="1241">
        <v>13</v>
      </c>
      <c r="C16" s="1241">
        <v>10</v>
      </c>
      <c r="D16" s="1236">
        <v>12</v>
      </c>
      <c r="E16" s="1241"/>
      <c r="F16" s="1932"/>
    </row>
    <row r="17" spans="1:6" ht="19.8" customHeight="1" thickBot="1">
      <c r="A17" s="1716" t="s">
        <v>3457</v>
      </c>
      <c r="B17" s="1933">
        <v>6</v>
      </c>
      <c r="C17" s="1933">
        <v>6</v>
      </c>
      <c r="D17" s="1271">
        <v>5</v>
      </c>
      <c r="E17" s="1933"/>
      <c r="F17" s="1934"/>
    </row>
    <row r="18" spans="1:6" ht="16.8" customHeight="1">
      <c r="A18" s="1236" t="s">
        <v>3437</v>
      </c>
    </row>
  </sheetData>
  <phoneticPr fontId="4"/>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41136-903F-45BB-93CA-C3C06BA3969D}">
  <sheetPr codeName="Sheet62"/>
  <dimension ref="A1:O19"/>
  <sheetViews>
    <sheetView workbookViewId="0"/>
  </sheetViews>
  <sheetFormatPr defaultColWidth="9" defaultRowHeight="10.8"/>
  <cols>
    <col min="1" max="1" width="11" style="11" customWidth="1"/>
    <col min="2" max="15" width="6.69921875" style="11" customWidth="1"/>
    <col min="16" max="16384" width="9" style="11"/>
  </cols>
  <sheetData>
    <row r="1" spans="1:15" ht="30" customHeight="1" thickBot="1">
      <c r="A1" s="259" t="s">
        <v>1641</v>
      </c>
      <c r="O1" s="253"/>
    </row>
    <row r="2" spans="1:15" ht="24" customHeight="1">
      <c r="A2" s="2180" t="s">
        <v>1562</v>
      </c>
      <c r="B2" s="2186" t="s">
        <v>378</v>
      </c>
      <c r="C2" s="2186" t="s">
        <v>1642</v>
      </c>
      <c r="D2" s="2186" t="s">
        <v>1643</v>
      </c>
      <c r="E2" s="2186" t="s">
        <v>1644</v>
      </c>
      <c r="F2" s="239" t="s">
        <v>1645</v>
      </c>
      <c r="G2" s="239" t="s">
        <v>1646</v>
      </c>
      <c r="H2" s="2186" t="s">
        <v>1647</v>
      </c>
      <c r="I2" s="239" t="s">
        <v>1648</v>
      </c>
      <c r="J2" s="239" t="s">
        <v>1649</v>
      </c>
      <c r="K2" s="2186" t="s">
        <v>1650</v>
      </c>
      <c r="L2" s="239" t="s">
        <v>1651</v>
      </c>
      <c r="M2" s="239" t="s">
        <v>1652</v>
      </c>
      <c r="N2" s="873" t="s">
        <v>1653</v>
      </c>
      <c r="O2" s="239" t="s">
        <v>1654</v>
      </c>
    </row>
    <row r="3" spans="1:15" ht="24" customHeight="1">
      <c r="A3" s="2182"/>
      <c r="B3" s="2188"/>
      <c r="C3" s="2188"/>
      <c r="D3" s="2188"/>
      <c r="E3" s="2188"/>
      <c r="F3" s="241" t="s">
        <v>1644</v>
      </c>
      <c r="G3" s="241" t="s">
        <v>1644</v>
      </c>
      <c r="H3" s="2188"/>
      <c r="I3" s="240" t="s">
        <v>1655</v>
      </c>
      <c r="J3" s="240" t="s">
        <v>1656</v>
      </c>
      <c r="K3" s="2188"/>
      <c r="L3" s="240" t="s">
        <v>1657</v>
      </c>
      <c r="M3" s="240" t="s">
        <v>1644</v>
      </c>
      <c r="N3" s="241" t="s">
        <v>1658</v>
      </c>
      <c r="O3" s="240" t="s">
        <v>1659</v>
      </c>
    </row>
    <row r="4" spans="1:15" ht="24" customHeight="1">
      <c r="A4" s="247"/>
      <c r="B4" s="39" t="s">
        <v>1660</v>
      </c>
      <c r="C4" s="39" t="s">
        <v>1661</v>
      </c>
      <c r="D4" s="39" t="s">
        <v>1661</v>
      </c>
      <c r="E4" s="39" t="s">
        <v>1661</v>
      </c>
      <c r="F4" s="39" t="s">
        <v>1661</v>
      </c>
      <c r="G4" s="39" t="s">
        <v>1661</v>
      </c>
      <c r="H4" s="39" t="s">
        <v>1661</v>
      </c>
      <c r="I4" s="39" t="s">
        <v>1661</v>
      </c>
      <c r="J4" s="39" t="s">
        <v>1661</v>
      </c>
      <c r="K4" s="39" t="s">
        <v>1661</v>
      </c>
      <c r="L4" s="39" t="s">
        <v>1661</v>
      </c>
      <c r="M4" s="39" t="s">
        <v>1661</v>
      </c>
      <c r="N4" s="39" t="s">
        <v>1661</v>
      </c>
      <c r="O4" s="39" t="s">
        <v>1661</v>
      </c>
    </row>
    <row r="5" spans="1:15" ht="24" customHeight="1">
      <c r="A5" s="247" t="s">
        <v>1662</v>
      </c>
      <c r="B5" s="874">
        <v>175</v>
      </c>
      <c r="C5" s="874">
        <v>82</v>
      </c>
      <c r="D5" s="874">
        <v>8</v>
      </c>
      <c r="E5" s="874">
        <v>23</v>
      </c>
      <c r="F5" s="874">
        <v>17</v>
      </c>
      <c r="G5" s="874">
        <v>1</v>
      </c>
      <c r="H5" s="874">
        <v>9</v>
      </c>
      <c r="I5" s="874">
        <v>13</v>
      </c>
      <c r="J5" s="874">
        <v>14</v>
      </c>
      <c r="K5" s="874">
        <v>7</v>
      </c>
      <c r="L5" s="874">
        <v>1</v>
      </c>
      <c r="M5" s="874">
        <v>0</v>
      </c>
      <c r="N5" s="874" t="s">
        <v>812</v>
      </c>
      <c r="O5" s="874" t="s">
        <v>812</v>
      </c>
    </row>
    <row r="6" spans="1:15" ht="24" customHeight="1">
      <c r="A6" s="247">
        <v>24</v>
      </c>
      <c r="B6" s="874">
        <v>169</v>
      </c>
      <c r="C6" s="874">
        <v>74</v>
      </c>
      <c r="D6" s="874">
        <v>6</v>
      </c>
      <c r="E6" s="874">
        <v>27</v>
      </c>
      <c r="F6" s="874">
        <v>18</v>
      </c>
      <c r="G6" s="874">
        <v>1</v>
      </c>
      <c r="H6" s="874">
        <v>8</v>
      </c>
      <c r="I6" s="874">
        <v>14</v>
      </c>
      <c r="J6" s="874">
        <v>13</v>
      </c>
      <c r="K6" s="874">
        <v>7</v>
      </c>
      <c r="L6" s="874">
        <v>1</v>
      </c>
      <c r="M6" s="874">
        <v>0</v>
      </c>
      <c r="N6" s="874" t="s">
        <v>812</v>
      </c>
      <c r="O6" s="874" t="s">
        <v>812</v>
      </c>
    </row>
    <row r="7" spans="1:15" ht="24" customHeight="1">
      <c r="A7" s="247">
        <v>25</v>
      </c>
      <c r="B7" s="874">
        <v>162</v>
      </c>
      <c r="C7" s="874">
        <v>69</v>
      </c>
      <c r="D7" s="874">
        <v>5</v>
      </c>
      <c r="E7" s="874">
        <v>28</v>
      </c>
      <c r="F7" s="874">
        <v>17</v>
      </c>
      <c r="G7" s="874">
        <v>1</v>
      </c>
      <c r="H7" s="874">
        <v>8</v>
      </c>
      <c r="I7" s="874">
        <v>13</v>
      </c>
      <c r="J7" s="874">
        <v>13</v>
      </c>
      <c r="K7" s="874">
        <v>7</v>
      </c>
      <c r="L7" s="874">
        <v>1</v>
      </c>
      <c r="M7" s="874">
        <v>0</v>
      </c>
      <c r="N7" s="874" t="s">
        <v>812</v>
      </c>
      <c r="O7" s="874" t="s">
        <v>812</v>
      </c>
    </row>
    <row r="8" spans="1:15" ht="24" customHeight="1">
      <c r="A8" s="247">
        <v>26</v>
      </c>
      <c r="B8" s="874">
        <v>167</v>
      </c>
      <c r="C8" s="874">
        <v>71</v>
      </c>
      <c r="D8" s="874">
        <v>6</v>
      </c>
      <c r="E8" s="874">
        <v>24</v>
      </c>
      <c r="F8" s="874">
        <v>22</v>
      </c>
      <c r="G8" s="874">
        <v>5</v>
      </c>
      <c r="H8" s="874">
        <v>8</v>
      </c>
      <c r="I8" s="874">
        <v>11</v>
      </c>
      <c r="J8" s="874">
        <v>12</v>
      </c>
      <c r="K8" s="874">
        <v>7</v>
      </c>
      <c r="L8" s="874">
        <v>1</v>
      </c>
      <c r="M8" s="874">
        <v>0</v>
      </c>
      <c r="N8" s="874" t="s">
        <v>812</v>
      </c>
      <c r="O8" s="874" t="s">
        <v>812</v>
      </c>
    </row>
    <row r="9" spans="1:15" ht="24" customHeight="1">
      <c r="A9" s="247">
        <v>27</v>
      </c>
      <c r="B9" s="874">
        <v>167</v>
      </c>
      <c r="C9" s="874">
        <v>69</v>
      </c>
      <c r="D9" s="874">
        <v>9</v>
      </c>
      <c r="E9" s="874">
        <v>21</v>
      </c>
      <c r="F9" s="874">
        <v>18</v>
      </c>
      <c r="G9" s="874">
        <v>15</v>
      </c>
      <c r="H9" s="874">
        <v>8</v>
      </c>
      <c r="I9" s="874">
        <v>11</v>
      </c>
      <c r="J9" s="874">
        <v>5</v>
      </c>
      <c r="K9" s="874">
        <v>7</v>
      </c>
      <c r="L9" s="874">
        <v>1</v>
      </c>
      <c r="M9" s="874">
        <v>0</v>
      </c>
      <c r="N9" s="874">
        <v>3</v>
      </c>
      <c r="O9" s="874" t="s">
        <v>812</v>
      </c>
    </row>
    <row r="10" spans="1:15" ht="24" customHeight="1">
      <c r="A10" s="247">
        <v>28</v>
      </c>
      <c r="B10" s="874">
        <v>168</v>
      </c>
      <c r="C10" s="874">
        <v>72</v>
      </c>
      <c r="D10" s="874">
        <v>10</v>
      </c>
      <c r="E10" s="874">
        <v>20</v>
      </c>
      <c r="F10" s="874">
        <v>14</v>
      </c>
      <c r="G10" s="874">
        <v>17</v>
      </c>
      <c r="H10" s="874">
        <v>8</v>
      </c>
      <c r="I10" s="874">
        <v>9</v>
      </c>
      <c r="J10" s="874">
        <v>8</v>
      </c>
      <c r="K10" s="874">
        <v>6</v>
      </c>
      <c r="L10" s="874">
        <v>1</v>
      </c>
      <c r="M10" s="874">
        <v>0</v>
      </c>
      <c r="N10" s="874">
        <v>3</v>
      </c>
      <c r="O10" s="874">
        <v>0</v>
      </c>
    </row>
    <row r="11" spans="1:15" ht="24" customHeight="1">
      <c r="A11" s="247">
        <v>29</v>
      </c>
      <c r="B11" s="874">
        <v>165</v>
      </c>
      <c r="C11" s="874">
        <v>73</v>
      </c>
      <c r="D11" s="874">
        <v>9</v>
      </c>
      <c r="E11" s="874">
        <v>18</v>
      </c>
      <c r="F11" s="874">
        <v>14</v>
      </c>
      <c r="G11" s="874">
        <v>16</v>
      </c>
      <c r="H11" s="874">
        <v>8</v>
      </c>
      <c r="I11" s="874">
        <v>9</v>
      </c>
      <c r="J11" s="874">
        <v>7</v>
      </c>
      <c r="K11" s="874">
        <v>5</v>
      </c>
      <c r="L11" s="874">
        <v>1</v>
      </c>
      <c r="M11" s="874">
        <v>0</v>
      </c>
      <c r="N11" s="874">
        <v>4</v>
      </c>
      <c r="O11" s="874">
        <v>1</v>
      </c>
    </row>
    <row r="12" spans="1:15" ht="24" customHeight="1">
      <c r="A12" s="247">
        <v>30</v>
      </c>
      <c r="B12" s="874">
        <v>166</v>
      </c>
      <c r="C12" s="874">
        <v>76</v>
      </c>
      <c r="D12" s="874">
        <v>9</v>
      </c>
      <c r="E12" s="874">
        <v>17</v>
      </c>
      <c r="F12" s="874">
        <v>13</v>
      </c>
      <c r="G12" s="874">
        <v>14</v>
      </c>
      <c r="H12" s="874">
        <v>7</v>
      </c>
      <c r="I12" s="874">
        <v>9</v>
      </c>
      <c r="J12" s="874">
        <v>9</v>
      </c>
      <c r="K12" s="874">
        <v>5</v>
      </c>
      <c r="L12" s="874">
        <v>1</v>
      </c>
      <c r="M12" s="874">
        <v>1</v>
      </c>
      <c r="N12" s="874">
        <v>4</v>
      </c>
      <c r="O12" s="874">
        <v>1</v>
      </c>
    </row>
    <row r="13" spans="1:15" ht="24" customHeight="1">
      <c r="A13" s="247">
        <v>31</v>
      </c>
      <c r="B13" s="874">
        <v>161</v>
      </c>
      <c r="C13" s="874">
        <v>80</v>
      </c>
      <c r="D13" s="874">
        <v>9</v>
      </c>
      <c r="E13" s="874">
        <v>13</v>
      </c>
      <c r="F13" s="874">
        <v>12</v>
      </c>
      <c r="G13" s="874">
        <v>12</v>
      </c>
      <c r="H13" s="874">
        <v>7</v>
      </c>
      <c r="I13" s="874">
        <v>9</v>
      </c>
      <c r="J13" s="874">
        <v>8</v>
      </c>
      <c r="K13" s="874">
        <v>5</v>
      </c>
      <c r="L13" s="874">
        <v>1</v>
      </c>
      <c r="M13" s="874">
        <v>1</v>
      </c>
      <c r="N13" s="874">
        <v>3</v>
      </c>
      <c r="O13" s="874">
        <v>1</v>
      </c>
    </row>
    <row r="14" spans="1:15" ht="24" customHeight="1">
      <c r="A14" s="247" t="s">
        <v>1502</v>
      </c>
      <c r="B14" s="874">
        <v>147</v>
      </c>
      <c r="C14" s="874">
        <v>79</v>
      </c>
      <c r="D14" s="874">
        <v>6</v>
      </c>
      <c r="E14" s="874">
        <v>11</v>
      </c>
      <c r="F14" s="874">
        <v>11</v>
      </c>
      <c r="G14" s="874">
        <v>10</v>
      </c>
      <c r="H14" s="874">
        <v>6</v>
      </c>
      <c r="I14" s="874">
        <v>9</v>
      </c>
      <c r="J14" s="874">
        <v>5</v>
      </c>
      <c r="K14" s="874">
        <v>5</v>
      </c>
      <c r="L14" s="874">
        <v>1</v>
      </c>
      <c r="M14" s="874">
        <v>0</v>
      </c>
      <c r="N14" s="874">
        <v>3</v>
      </c>
      <c r="O14" s="874">
        <v>1</v>
      </c>
    </row>
    <row r="15" spans="1:15" ht="24" customHeight="1">
      <c r="A15" s="247">
        <v>3</v>
      </c>
      <c r="B15" s="874">
        <v>156</v>
      </c>
      <c r="C15" s="874">
        <v>84</v>
      </c>
      <c r="D15" s="874">
        <v>7</v>
      </c>
      <c r="E15" s="874">
        <v>12</v>
      </c>
      <c r="F15" s="874">
        <v>12</v>
      </c>
      <c r="G15" s="874">
        <v>11</v>
      </c>
      <c r="H15" s="874">
        <v>7</v>
      </c>
      <c r="I15" s="874">
        <v>9</v>
      </c>
      <c r="J15" s="874">
        <v>3</v>
      </c>
      <c r="K15" s="874">
        <v>5</v>
      </c>
      <c r="L15" s="874">
        <v>1</v>
      </c>
      <c r="M15" s="874">
        <v>0</v>
      </c>
      <c r="N15" s="874">
        <v>4</v>
      </c>
      <c r="O15" s="874">
        <v>1</v>
      </c>
    </row>
    <row r="16" spans="1:15" ht="24" customHeight="1">
      <c r="A16" s="247">
        <v>4</v>
      </c>
      <c r="B16" s="874">
        <v>160</v>
      </c>
      <c r="C16" s="874">
        <v>91</v>
      </c>
      <c r="D16" s="874">
        <v>9</v>
      </c>
      <c r="E16" s="874">
        <v>10</v>
      </c>
      <c r="F16" s="874">
        <v>11</v>
      </c>
      <c r="G16" s="874">
        <v>12</v>
      </c>
      <c r="H16" s="874">
        <v>4</v>
      </c>
      <c r="I16" s="874">
        <v>9</v>
      </c>
      <c r="J16" s="874">
        <v>3</v>
      </c>
      <c r="K16" s="874">
        <v>5</v>
      </c>
      <c r="L16" s="874">
        <v>1</v>
      </c>
      <c r="M16" s="874">
        <v>0</v>
      </c>
      <c r="N16" s="874">
        <v>4</v>
      </c>
      <c r="O16" s="874">
        <v>1</v>
      </c>
    </row>
    <row r="17" spans="1:15" ht="24" customHeight="1">
      <c r="A17" s="540">
        <v>5</v>
      </c>
      <c r="B17" s="874">
        <v>160</v>
      </c>
      <c r="C17" s="874">
        <v>85</v>
      </c>
      <c r="D17" s="874">
        <v>8</v>
      </c>
      <c r="E17" s="874">
        <v>11</v>
      </c>
      <c r="F17" s="874">
        <v>14</v>
      </c>
      <c r="G17" s="874">
        <v>11</v>
      </c>
      <c r="H17" s="874">
        <v>9</v>
      </c>
      <c r="I17" s="874">
        <v>9</v>
      </c>
      <c r="J17" s="874">
        <v>3</v>
      </c>
      <c r="K17" s="874">
        <v>5</v>
      </c>
      <c r="L17" s="874">
        <v>1</v>
      </c>
      <c r="M17" s="874">
        <v>0</v>
      </c>
      <c r="N17" s="874">
        <v>3</v>
      </c>
      <c r="O17" s="874">
        <v>1</v>
      </c>
    </row>
    <row r="18" spans="1:15" ht="24" customHeight="1" thickBot="1">
      <c r="A18" s="220"/>
      <c r="B18" s="875"/>
      <c r="C18" s="875"/>
      <c r="D18" s="875"/>
      <c r="E18" s="875"/>
      <c r="F18" s="875"/>
      <c r="G18" s="875"/>
      <c r="H18" s="875"/>
      <c r="I18" s="875"/>
      <c r="J18" s="875"/>
      <c r="K18" s="875"/>
      <c r="L18" s="875"/>
      <c r="M18" s="875"/>
      <c r="N18" s="875"/>
      <c r="O18" s="875"/>
    </row>
    <row r="19" spans="1:15" ht="24" customHeight="1">
      <c r="A19" s="11" t="s">
        <v>1663</v>
      </c>
      <c r="E19" s="11" t="s">
        <v>1664</v>
      </c>
    </row>
  </sheetData>
  <mergeCells count="7">
    <mergeCell ref="K2:K3"/>
    <mergeCell ref="A2:A3"/>
    <mergeCell ref="B2:B3"/>
    <mergeCell ref="C2:C3"/>
    <mergeCell ref="D2:D3"/>
    <mergeCell ref="E2:E3"/>
    <mergeCell ref="H2:H3"/>
  </mergeCells>
  <phoneticPr fontId="4"/>
  <pageMargins left="0.70866141732283472" right="0.51181102362204722" top="0.74803149606299213" bottom="0.74803149606299213"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2D0F-A711-4D5A-B0C1-141C56B24D50}">
  <sheetPr codeName="Sheet63"/>
  <dimension ref="A1:K37"/>
  <sheetViews>
    <sheetView showGridLines="0" zoomScaleNormal="100" workbookViewId="0"/>
  </sheetViews>
  <sheetFormatPr defaultRowHeight="13.2"/>
  <cols>
    <col min="1" max="1" width="2.69921875" style="1174" customWidth="1"/>
    <col min="2" max="2" width="22.69921875" style="1174" bestFit="1" customWidth="1"/>
    <col min="3" max="11" width="6.59765625" style="1174" customWidth="1"/>
    <col min="12" max="232" width="9" style="1174"/>
    <col min="233" max="233" width="2.69921875" style="1174" customWidth="1"/>
    <col min="234" max="234" width="22.69921875" style="1174" bestFit="1" customWidth="1"/>
    <col min="235" max="249" width="0" style="1174" hidden="1" customWidth="1"/>
    <col min="250" max="261" width="6.59765625" style="1174" customWidth="1"/>
    <col min="262" max="488" width="9" style="1174"/>
    <col min="489" max="489" width="2.69921875" style="1174" customWidth="1"/>
    <col min="490" max="490" width="22.69921875" style="1174" bestFit="1" customWidth="1"/>
    <col min="491" max="505" width="0" style="1174" hidden="1" customWidth="1"/>
    <col min="506" max="517" width="6.59765625" style="1174" customWidth="1"/>
    <col min="518" max="744" width="9" style="1174"/>
    <col min="745" max="745" width="2.69921875" style="1174" customWidth="1"/>
    <col min="746" max="746" width="22.69921875" style="1174" bestFit="1" customWidth="1"/>
    <col min="747" max="761" width="0" style="1174" hidden="1" customWidth="1"/>
    <col min="762" max="773" width="6.59765625" style="1174" customWidth="1"/>
    <col min="774" max="1000" width="9" style="1174"/>
    <col min="1001" max="1001" width="2.69921875" style="1174" customWidth="1"/>
    <col min="1002" max="1002" width="22.69921875" style="1174" bestFit="1" customWidth="1"/>
    <col min="1003" max="1017" width="0" style="1174" hidden="1" customWidth="1"/>
    <col min="1018" max="1029" width="6.59765625" style="1174" customWidth="1"/>
    <col min="1030" max="1256" width="9" style="1174"/>
    <col min="1257" max="1257" width="2.69921875" style="1174" customWidth="1"/>
    <col min="1258" max="1258" width="22.69921875" style="1174" bestFit="1" customWidth="1"/>
    <col min="1259" max="1273" width="0" style="1174" hidden="1" customWidth="1"/>
    <col min="1274" max="1285" width="6.59765625" style="1174" customWidth="1"/>
    <col min="1286" max="1512" width="9" style="1174"/>
    <col min="1513" max="1513" width="2.69921875" style="1174" customWidth="1"/>
    <col min="1514" max="1514" width="22.69921875" style="1174" bestFit="1" customWidth="1"/>
    <col min="1515" max="1529" width="0" style="1174" hidden="1" customWidth="1"/>
    <col min="1530" max="1541" width="6.59765625" style="1174" customWidth="1"/>
    <col min="1542" max="1768" width="9" style="1174"/>
    <col min="1769" max="1769" width="2.69921875" style="1174" customWidth="1"/>
    <col min="1770" max="1770" width="22.69921875" style="1174" bestFit="1" customWidth="1"/>
    <col min="1771" max="1785" width="0" style="1174" hidden="1" customWidth="1"/>
    <col min="1786" max="1797" width="6.59765625" style="1174" customWidth="1"/>
    <col min="1798" max="2024" width="9" style="1174"/>
    <col min="2025" max="2025" width="2.69921875" style="1174" customWidth="1"/>
    <col min="2026" max="2026" width="22.69921875" style="1174" bestFit="1" customWidth="1"/>
    <col min="2027" max="2041" width="0" style="1174" hidden="1" customWidth="1"/>
    <col min="2042" max="2053" width="6.59765625" style="1174" customWidth="1"/>
    <col min="2054" max="2280" width="9" style="1174"/>
    <col min="2281" max="2281" width="2.69921875" style="1174" customWidth="1"/>
    <col min="2282" max="2282" width="22.69921875" style="1174" bestFit="1" customWidth="1"/>
    <col min="2283" max="2297" width="0" style="1174" hidden="1" customWidth="1"/>
    <col min="2298" max="2309" width="6.59765625" style="1174" customWidth="1"/>
    <col min="2310" max="2536" width="9" style="1174"/>
    <col min="2537" max="2537" width="2.69921875" style="1174" customWidth="1"/>
    <col min="2538" max="2538" width="22.69921875" style="1174" bestFit="1" customWidth="1"/>
    <col min="2539" max="2553" width="0" style="1174" hidden="1" customWidth="1"/>
    <col min="2554" max="2565" width="6.59765625" style="1174" customWidth="1"/>
    <col min="2566" max="2792" width="9" style="1174"/>
    <col min="2793" max="2793" width="2.69921875" style="1174" customWidth="1"/>
    <col min="2794" max="2794" width="22.69921875" style="1174" bestFit="1" customWidth="1"/>
    <col min="2795" max="2809" width="0" style="1174" hidden="1" customWidth="1"/>
    <col min="2810" max="2821" width="6.59765625" style="1174" customWidth="1"/>
    <col min="2822" max="3048" width="9" style="1174"/>
    <col min="3049" max="3049" width="2.69921875" style="1174" customWidth="1"/>
    <col min="3050" max="3050" width="22.69921875" style="1174" bestFit="1" customWidth="1"/>
    <col min="3051" max="3065" width="0" style="1174" hidden="1" customWidth="1"/>
    <col min="3066" max="3077" width="6.59765625" style="1174" customWidth="1"/>
    <col min="3078" max="3304" width="9" style="1174"/>
    <col min="3305" max="3305" width="2.69921875" style="1174" customWidth="1"/>
    <col min="3306" max="3306" width="22.69921875" style="1174" bestFit="1" customWidth="1"/>
    <col min="3307" max="3321" width="0" style="1174" hidden="1" customWidth="1"/>
    <col min="3322" max="3333" width="6.59765625" style="1174" customWidth="1"/>
    <col min="3334" max="3560" width="9" style="1174"/>
    <col min="3561" max="3561" width="2.69921875" style="1174" customWidth="1"/>
    <col min="3562" max="3562" width="22.69921875" style="1174" bestFit="1" customWidth="1"/>
    <col min="3563" max="3577" width="0" style="1174" hidden="1" customWidth="1"/>
    <col min="3578" max="3589" width="6.59765625" style="1174" customWidth="1"/>
    <col min="3590" max="3816" width="9" style="1174"/>
    <col min="3817" max="3817" width="2.69921875" style="1174" customWidth="1"/>
    <col min="3818" max="3818" width="22.69921875" style="1174" bestFit="1" customWidth="1"/>
    <col min="3819" max="3833" width="0" style="1174" hidden="1" customWidth="1"/>
    <col min="3834" max="3845" width="6.59765625" style="1174" customWidth="1"/>
    <col min="3846" max="4072" width="9" style="1174"/>
    <col min="4073" max="4073" width="2.69921875" style="1174" customWidth="1"/>
    <col min="4074" max="4074" width="22.69921875" style="1174" bestFit="1" customWidth="1"/>
    <col min="4075" max="4089" width="0" style="1174" hidden="1" customWidth="1"/>
    <col min="4090" max="4101" width="6.59765625" style="1174" customWidth="1"/>
    <col min="4102" max="4328" width="9" style="1174"/>
    <col min="4329" max="4329" width="2.69921875" style="1174" customWidth="1"/>
    <col min="4330" max="4330" width="22.69921875" style="1174" bestFit="1" customWidth="1"/>
    <col min="4331" max="4345" width="0" style="1174" hidden="1" customWidth="1"/>
    <col min="4346" max="4357" width="6.59765625" style="1174" customWidth="1"/>
    <col min="4358" max="4584" width="9" style="1174"/>
    <col min="4585" max="4585" width="2.69921875" style="1174" customWidth="1"/>
    <col min="4586" max="4586" width="22.69921875" style="1174" bestFit="1" customWidth="1"/>
    <col min="4587" max="4601" width="0" style="1174" hidden="1" customWidth="1"/>
    <col min="4602" max="4613" width="6.59765625" style="1174" customWidth="1"/>
    <col min="4614" max="4840" width="9" style="1174"/>
    <col min="4841" max="4841" width="2.69921875" style="1174" customWidth="1"/>
    <col min="4842" max="4842" width="22.69921875" style="1174" bestFit="1" customWidth="1"/>
    <col min="4843" max="4857" width="0" style="1174" hidden="1" customWidth="1"/>
    <col min="4858" max="4869" width="6.59765625" style="1174" customWidth="1"/>
    <col min="4870" max="5096" width="9" style="1174"/>
    <col min="5097" max="5097" width="2.69921875" style="1174" customWidth="1"/>
    <col min="5098" max="5098" width="22.69921875" style="1174" bestFit="1" customWidth="1"/>
    <col min="5099" max="5113" width="0" style="1174" hidden="1" customWidth="1"/>
    <col min="5114" max="5125" width="6.59765625" style="1174" customWidth="1"/>
    <col min="5126" max="5352" width="9" style="1174"/>
    <col min="5353" max="5353" width="2.69921875" style="1174" customWidth="1"/>
    <col min="5354" max="5354" width="22.69921875" style="1174" bestFit="1" customWidth="1"/>
    <col min="5355" max="5369" width="0" style="1174" hidden="1" customWidth="1"/>
    <col min="5370" max="5381" width="6.59765625" style="1174" customWidth="1"/>
    <col min="5382" max="5608" width="9" style="1174"/>
    <col min="5609" max="5609" width="2.69921875" style="1174" customWidth="1"/>
    <col min="5610" max="5610" width="22.69921875" style="1174" bestFit="1" customWidth="1"/>
    <col min="5611" max="5625" width="0" style="1174" hidden="1" customWidth="1"/>
    <col min="5626" max="5637" width="6.59765625" style="1174" customWidth="1"/>
    <col min="5638" max="5864" width="9" style="1174"/>
    <col min="5865" max="5865" width="2.69921875" style="1174" customWidth="1"/>
    <col min="5866" max="5866" width="22.69921875" style="1174" bestFit="1" customWidth="1"/>
    <col min="5867" max="5881" width="0" style="1174" hidden="1" customWidth="1"/>
    <col min="5882" max="5893" width="6.59765625" style="1174" customWidth="1"/>
    <col min="5894" max="6120" width="9" style="1174"/>
    <col min="6121" max="6121" width="2.69921875" style="1174" customWidth="1"/>
    <col min="6122" max="6122" width="22.69921875" style="1174" bestFit="1" customWidth="1"/>
    <col min="6123" max="6137" width="0" style="1174" hidden="1" customWidth="1"/>
    <col min="6138" max="6149" width="6.59765625" style="1174" customWidth="1"/>
    <col min="6150" max="6376" width="9" style="1174"/>
    <col min="6377" max="6377" width="2.69921875" style="1174" customWidth="1"/>
    <col min="6378" max="6378" width="22.69921875" style="1174" bestFit="1" customWidth="1"/>
    <col min="6379" max="6393" width="0" style="1174" hidden="1" customWidth="1"/>
    <col min="6394" max="6405" width="6.59765625" style="1174" customWidth="1"/>
    <col min="6406" max="6632" width="9" style="1174"/>
    <col min="6633" max="6633" width="2.69921875" style="1174" customWidth="1"/>
    <col min="6634" max="6634" width="22.69921875" style="1174" bestFit="1" customWidth="1"/>
    <col min="6635" max="6649" width="0" style="1174" hidden="1" customWidth="1"/>
    <col min="6650" max="6661" width="6.59765625" style="1174" customWidth="1"/>
    <col min="6662" max="6888" width="9" style="1174"/>
    <col min="6889" max="6889" width="2.69921875" style="1174" customWidth="1"/>
    <col min="6890" max="6890" width="22.69921875" style="1174" bestFit="1" customWidth="1"/>
    <col min="6891" max="6905" width="0" style="1174" hidden="1" customWidth="1"/>
    <col min="6906" max="6917" width="6.59765625" style="1174" customWidth="1"/>
    <col min="6918" max="7144" width="9" style="1174"/>
    <col min="7145" max="7145" width="2.69921875" style="1174" customWidth="1"/>
    <col min="7146" max="7146" width="22.69921875" style="1174" bestFit="1" customWidth="1"/>
    <col min="7147" max="7161" width="0" style="1174" hidden="1" customWidth="1"/>
    <col min="7162" max="7173" width="6.59765625" style="1174" customWidth="1"/>
    <col min="7174" max="7400" width="9" style="1174"/>
    <col min="7401" max="7401" width="2.69921875" style="1174" customWidth="1"/>
    <col min="7402" max="7402" width="22.69921875" style="1174" bestFit="1" customWidth="1"/>
    <col min="7403" max="7417" width="0" style="1174" hidden="1" customWidth="1"/>
    <col min="7418" max="7429" width="6.59765625" style="1174" customWidth="1"/>
    <col min="7430" max="7656" width="9" style="1174"/>
    <col min="7657" max="7657" width="2.69921875" style="1174" customWidth="1"/>
    <col min="7658" max="7658" width="22.69921875" style="1174" bestFit="1" customWidth="1"/>
    <col min="7659" max="7673" width="0" style="1174" hidden="1" customWidth="1"/>
    <col min="7674" max="7685" width="6.59765625" style="1174" customWidth="1"/>
    <col min="7686" max="7912" width="9" style="1174"/>
    <col min="7913" max="7913" width="2.69921875" style="1174" customWidth="1"/>
    <col min="7914" max="7914" width="22.69921875" style="1174" bestFit="1" customWidth="1"/>
    <col min="7915" max="7929" width="0" style="1174" hidden="1" customWidth="1"/>
    <col min="7930" max="7941" width="6.59765625" style="1174" customWidth="1"/>
    <col min="7942" max="8168" width="9" style="1174"/>
    <col min="8169" max="8169" width="2.69921875" style="1174" customWidth="1"/>
    <col min="8170" max="8170" width="22.69921875" style="1174" bestFit="1" customWidth="1"/>
    <col min="8171" max="8185" width="0" style="1174" hidden="1" customWidth="1"/>
    <col min="8186" max="8197" width="6.59765625" style="1174" customWidth="1"/>
    <col min="8198" max="8424" width="9" style="1174"/>
    <col min="8425" max="8425" width="2.69921875" style="1174" customWidth="1"/>
    <col min="8426" max="8426" width="22.69921875" style="1174" bestFit="1" customWidth="1"/>
    <col min="8427" max="8441" width="0" style="1174" hidden="1" customWidth="1"/>
    <col min="8442" max="8453" width="6.59765625" style="1174" customWidth="1"/>
    <col min="8454" max="8680" width="9" style="1174"/>
    <col min="8681" max="8681" width="2.69921875" style="1174" customWidth="1"/>
    <col min="8682" max="8682" width="22.69921875" style="1174" bestFit="1" customWidth="1"/>
    <col min="8683" max="8697" width="0" style="1174" hidden="1" customWidth="1"/>
    <col min="8698" max="8709" width="6.59765625" style="1174" customWidth="1"/>
    <col min="8710" max="8936" width="9" style="1174"/>
    <col min="8937" max="8937" width="2.69921875" style="1174" customWidth="1"/>
    <col min="8938" max="8938" width="22.69921875" style="1174" bestFit="1" customWidth="1"/>
    <col min="8939" max="8953" width="0" style="1174" hidden="1" customWidth="1"/>
    <col min="8954" max="8965" width="6.59765625" style="1174" customWidth="1"/>
    <col min="8966" max="9192" width="9" style="1174"/>
    <col min="9193" max="9193" width="2.69921875" style="1174" customWidth="1"/>
    <col min="9194" max="9194" width="22.69921875" style="1174" bestFit="1" customWidth="1"/>
    <col min="9195" max="9209" width="0" style="1174" hidden="1" customWidth="1"/>
    <col min="9210" max="9221" width="6.59765625" style="1174" customWidth="1"/>
    <col min="9222" max="9448" width="9" style="1174"/>
    <col min="9449" max="9449" width="2.69921875" style="1174" customWidth="1"/>
    <col min="9450" max="9450" width="22.69921875" style="1174" bestFit="1" customWidth="1"/>
    <col min="9451" max="9465" width="0" style="1174" hidden="1" customWidth="1"/>
    <col min="9466" max="9477" width="6.59765625" style="1174" customWidth="1"/>
    <col min="9478" max="9704" width="9" style="1174"/>
    <col min="9705" max="9705" width="2.69921875" style="1174" customWidth="1"/>
    <col min="9706" max="9706" width="22.69921875" style="1174" bestFit="1" customWidth="1"/>
    <col min="9707" max="9721" width="0" style="1174" hidden="1" customWidth="1"/>
    <col min="9722" max="9733" width="6.59765625" style="1174" customWidth="1"/>
    <col min="9734" max="9960" width="9" style="1174"/>
    <col min="9961" max="9961" width="2.69921875" style="1174" customWidth="1"/>
    <col min="9962" max="9962" width="22.69921875" style="1174" bestFit="1" customWidth="1"/>
    <col min="9963" max="9977" width="0" style="1174" hidden="1" customWidth="1"/>
    <col min="9978" max="9989" width="6.59765625" style="1174" customWidth="1"/>
    <col min="9990" max="10216" width="9" style="1174"/>
    <col min="10217" max="10217" width="2.69921875" style="1174" customWidth="1"/>
    <col min="10218" max="10218" width="22.69921875" style="1174" bestFit="1" customWidth="1"/>
    <col min="10219" max="10233" width="0" style="1174" hidden="1" customWidth="1"/>
    <col min="10234" max="10245" width="6.59765625" style="1174" customWidth="1"/>
    <col min="10246" max="10472" width="9" style="1174"/>
    <col min="10473" max="10473" width="2.69921875" style="1174" customWidth="1"/>
    <col min="10474" max="10474" width="22.69921875" style="1174" bestFit="1" customWidth="1"/>
    <col min="10475" max="10489" width="0" style="1174" hidden="1" customWidth="1"/>
    <col min="10490" max="10501" width="6.59765625" style="1174" customWidth="1"/>
    <col min="10502" max="10728" width="9" style="1174"/>
    <col min="10729" max="10729" width="2.69921875" style="1174" customWidth="1"/>
    <col min="10730" max="10730" width="22.69921875" style="1174" bestFit="1" customWidth="1"/>
    <col min="10731" max="10745" width="0" style="1174" hidden="1" customWidth="1"/>
    <col min="10746" max="10757" width="6.59765625" style="1174" customWidth="1"/>
    <col min="10758" max="10984" width="9" style="1174"/>
    <col min="10985" max="10985" width="2.69921875" style="1174" customWidth="1"/>
    <col min="10986" max="10986" width="22.69921875" style="1174" bestFit="1" customWidth="1"/>
    <col min="10987" max="11001" width="0" style="1174" hidden="1" customWidth="1"/>
    <col min="11002" max="11013" width="6.59765625" style="1174" customWidth="1"/>
    <col min="11014" max="11240" width="9" style="1174"/>
    <col min="11241" max="11241" width="2.69921875" style="1174" customWidth="1"/>
    <col min="11242" max="11242" width="22.69921875" style="1174" bestFit="1" customWidth="1"/>
    <col min="11243" max="11257" width="0" style="1174" hidden="1" customWidth="1"/>
    <col min="11258" max="11269" width="6.59765625" style="1174" customWidth="1"/>
    <col min="11270" max="11496" width="9" style="1174"/>
    <col min="11497" max="11497" width="2.69921875" style="1174" customWidth="1"/>
    <col min="11498" max="11498" width="22.69921875" style="1174" bestFit="1" customWidth="1"/>
    <col min="11499" max="11513" width="0" style="1174" hidden="1" customWidth="1"/>
    <col min="11514" max="11525" width="6.59765625" style="1174" customWidth="1"/>
    <col min="11526" max="11752" width="9" style="1174"/>
    <col min="11753" max="11753" width="2.69921875" style="1174" customWidth="1"/>
    <col min="11754" max="11754" width="22.69921875" style="1174" bestFit="1" customWidth="1"/>
    <col min="11755" max="11769" width="0" style="1174" hidden="1" customWidth="1"/>
    <col min="11770" max="11781" width="6.59765625" style="1174" customWidth="1"/>
    <col min="11782" max="12008" width="9" style="1174"/>
    <col min="12009" max="12009" width="2.69921875" style="1174" customWidth="1"/>
    <col min="12010" max="12010" width="22.69921875" style="1174" bestFit="1" customWidth="1"/>
    <col min="12011" max="12025" width="0" style="1174" hidden="1" customWidth="1"/>
    <col min="12026" max="12037" width="6.59765625" style="1174" customWidth="1"/>
    <col min="12038" max="12264" width="9" style="1174"/>
    <col min="12265" max="12265" width="2.69921875" style="1174" customWidth="1"/>
    <col min="12266" max="12266" width="22.69921875" style="1174" bestFit="1" customWidth="1"/>
    <col min="12267" max="12281" width="0" style="1174" hidden="1" customWidth="1"/>
    <col min="12282" max="12293" width="6.59765625" style="1174" customWidth="1"/>
    <col min="12294" max="12520" width="9" style="1174"/>
    <col min="12521" max="12521" width="2.69921875" style="1174" customWidth="1"/>
    <col min="12522" max="12522" width="22.69921875" style="1174" bestFit="1" customWidth="1"/>
    <col min="12523" max="12537" width="0" style="1174" hidden="1" customWidth="1"/>
    <col min="12538" max="12549" width="6.59765625" style="1174" customWidth="1"/>
    <col min="12550" max="12776" width="9" style="1174"/>
    <col min="12777" max="12777" width="2.69921875" style="1174" customWidth="1"/>
    <col min="12778" max="12778" width="22.69921875" style="1174" bestFit="1" customWidth="1"/>
    <col min="12779" max="12793" width="0" style="1174" hidden="1" customWidth="1"/>
    <col min="12794" max="12805" width="6.59765625" style="1174" customWidth="1"/>
    <col min="12806" max="13032" width="9" style="1174"/>
    <col min="13033" max="13033" width="2.69921875" style="1174" customWidth="1"/>
    <col min="13034" max="13034" width="22.69921875" style="1174" bestFit="1" customWidth="1"/>
    <col min="13035" max="13049" width="0" style="1174" hidden="1" customWidth="1"/>
    <col min="13050" max="13061" width="6.59765625" style="1174" customWidth="1"/>
    <col min="13062" max="13288" width="9" style="1174"/>
    <col min="13289" max="13289" width="2.69921875" style="1174" customWidth="1"/>
    <col min="13290" max="13290" width="22.69921875" style="1174" bestFit="1" customWidth="1"/>
    <col min="13291" max="13305" width="0" style="1174" hidden="1" customWidth="1"/>
    <col min="13306" max="13317" width="6.59765625" style="1174" customWidth="1"/>
    <col min="13318" max="13544" width="9" style="1174"/>
    <col min="13545" max="13545" width="2.69921875" style="1174" customWidth="1"/>
    <col min="13546" max="13546" width="22.69921875" style="1174" bestFit="1" customWidth="1"/>
    <col min="13547" max="13561" width="0" style="1174" hidden="1" customWidth="1"/>
    <col min="13562" max="13573" width="6.59765625" style="1174" customWidth="1"/>
    <col min="13574" max="13800" width="9" style="1174"/>
    <col min="13801" max="13801" width="2.69921875" style="1174" customWidth="1"/>
    <col min="13802" max="13802" width="22.69921875" style="1174" bestFit="1" customWidth="1"/>
    <col min="13803" max="13817" width="0" style="1174" hidden="1" customWidth="1"/>
    <col min="13818" max="13829" width="6.59765625" style="1174" customWidth="1"/>
    <col min="13830" max="14056" width="9" style="1174"/>
    <col min="14057" max="14057" width="2.69921875" style="1174" customWidth="1"/>
    <col min="14058" max="14058" width="22.69921875" style="1174" bestFit="1" customWidth="1"/>
    <col min="14059" max="14073" width="0" style="1174" hidden="1" customWidth="1"/>
    <col min="14074" max="14085" width="6.59765625" style="1174" customWidth="1"/>
    <col min="14086" max="14312" width="9" style="1174"/>
    <col min="14313" max="14313" width="2.69921875" style="1174" customWidth="1"/>
    <col min="14314" max="14314" width="22.69921875" style="1174" bestFit="1" customWidth="1"/>
    <col min="14315" max="14329" width="0" style="1174" hidden="1" customWidth="1"/>
    <col min="14330" max="14341" width="6.59765625" style="1174" customWidth="1"/>
    <col min="14342" max="14568" width="9" style="1174"/>
    <col min="14569" max="14569" width="2.69921875" style="1174" customWidth="1"/>
    <col min="14570" max="14570" width="22.69921875" style="1174" bestFit="1" customWidth="1"/>
    <col min="14571" max="14585" width="0" style="1174" hidden="1" customWidth="1"/>
    <col min="14586" max="14597" width="6.59765625" style="1174" customWidth="1"/>
    <col min="14598" max="14824" width="9" style="1174"/>
    <col min="14825" max="14825" width="2.69921875" style="1174" customWidth="1"/>
    <col min="14826" max="14826" width="22.69921875" style="1174" bestFit="1" customWidth="1"/>
    <col min="14827" max="14841" width="0" style="1174" hidden="1" customWidth="1"/>
    <col min="14842" max="14853" width="6.59765625" style="1174" customWidth="1"/>
    <col min="14854" max="15080" width="9" style="1174"/>
    <col min="15081" max="15081" width="2.69921875" style="1174" customWidth="1"/>
    <col min="15082" max="15082" width="22.69921875" style="1174" bestFit="1" customWidth="1"/>
    <col min="15083" max="15097" width="0" style="1174" hidden="1" customWidth="1"/>
    <col min="15098" max="15109" width="6.59765625" style="1174" customWidth="1"/>
    <col min="15110" max="15336" width="9" style="1174"/>
    <col min="15337" max="15337" width="2.69921875" style="1174" customWidth="1"/>
    <col min="15338" max="15338" width="22.69921875" style="1174" bestFit="1" customWidth="1"/>
    <col min="15339" max="15353" width="0" style="1174" hidden="1" customWidth="1"/>
    <col min="15354" max="15365" width="6.59765625" style="1174" customWidth="1"/>
    <col min="15366" max="15592" width="9" style="1174"/>
    <col min="15593" max="15593" width="2.69921875" style="1174" customWidth="1"/>
    <col min="15594" max="15594" width="22.69921875" style="1174" bestFit="1" customWidth="1"/>
    <col min="15595" max="15609" width="0" style="1174" hidden="1" customWidth="1"/>
    <col min="15610" max="15621" width="6.59765625" style="1174" customWidth="1"/>
    <col min="15622" max="15848" width="9" style="1174"/>
    <col min="15849" max="15849" width="2.69921875" style="1174" customWidth="1"/>
    <col min="15850" max="15850" width="22.69921875" style="1174" bestFit="1" customWidth="1"/>
    <col min="15851" max="15865" width="0" style="1174" hidden="1" customWidth="1"/>
    <col min="15866" max="15877" width="6.59765625" style="1174" customWidth="1"/>
    <col min="15878" max="16104" width="9" style="1174"/>
    <col min="16105" max="16105" width="2.69921875" style="1174" customWidth="1"/>
    <col min="16106" max="16106" width="22.69921875" style="1174" bestFit="1" customWidth="1"/>
    <col min="16107" max="16121" width="0" style="1174" hidden="1" customWidth="1"/>
    <col min="16122" max="16133" width="6.59765625" style="1174" customWidth="1"/>
    <col min="16134" max="16384" width="9" style="1174"/>
  </cols>
  <sheetData>
    <row r="1" spans="1:11" ht="30" customHeight="1" thickBot="1">
      <c r="A1" s="1669" t="s">
        <v>1665</v>
      </c>
    </row>
    <row r="2" spans="1:11" ht="17.25" customHeight="1">
      <c r="A2" s="2657" t="s">
        <v>1666</v>
      </c>
      <c r="B2" s="2657"/>
      <c r="C2" s="2659" t="s">
        <v>3682</v>
      </c>
      <c r="D2" s="2659"/>
      <c r="E2" s="2660"/>
      <c r="F2" s="2659" t="s">
        <v>3681</v>
      </c>
      <c r="G2" s="2659"/>
      <c r="H2" s="2660"/>
      <c r="I2" s="2659" t="s">
        <v>3680</v>
      </c>
      <c r="J2" s="2659"/>
      <c r="K2" s="2660"/>
    </row>
    <row r="3" spans="1:11" ht="27.75" customHeight="1">
      <c r="A3" s="2658"/>
      <c r="B3" s="2658"/>
      <c r="C3" s="1670" t="s">
        <v>1667</v>
      </c>
      <c r="D3" s="1670" t="s">
        <v>1668</v>
      </c>
      <c r="E3" s="1670" t="s">
        <v>1669</v>
      </c>
      <c r="F3" s="1670" t="s">
        <v>1667</v>
      </c>
      <c r="G3" s="1670" t="s">
        <v>1668</v>
      </c>
      <c r="H3" s="1670" t="s">
        <v>1669</v>
      </c>
      <c r="I3" s="1670" t="s">
        <v>1667</v>
      </c>
      <c r="J3" s="1670" t="s">
        <v>1668</v>
      </c>
      <c r="K3" s="1670" t="s">
        <v>1669</v>
      </c>
    </row>
    <row r="4" spans="1:11" ht="18.899999999999999" customHeight="1">
      <c r="A4" s="2661" t="s">
        <v>1670</v>
      </c>
      <c r="B4" s="1671" t="s">
        <v>1671</v>
      </c>
      <c r="C4" s="1672" t="s">
        <v>384</v>
      </c>
      <c r="D4" s="1672" t="s">
        <v>384</v>
      </c>
      <c r="E4" s="882" t="s">
        <v>345</v>
      </c>
      <c r="F4" s="1672" t="s">
        <v>384</v>
      </c>
      <c r="G4" s="1672" t="s">
        <v>384</v>
      </c>
      <c r="H4" s="882" t="s">
        <v>345</v>
      </c>
      <c r="I4" s="1672" t="s">
        <v>384</v>
      </c>
      <c r="J4" s="1673" t="s">
        <v>384</v>
      </c>
      <c r="K4" s="883" t="s">
        <v>345</v>
      </c>
    </row>
    <row r="5" spans="1:11" ht="18.899999999999999" customHeight="1">
      <c r="A5" s="2662"/>
      <c r="B5" s="1674" t="s">
        <v>1672</v>
      </c>
      <c r="C5" s="1675">
        <v>538</v>
      </c>
      <c r="D5" s="1675">
        <v>464</v>
      </c>
      <c r="E5" s="876">
        <v>86.2</v>
      </c>
      <c r="F5" s="1675">
        <v>431</v>
      </c>
      <c r="G5" s="1675">
        <v>418</v>
      </c>
      <c r="H5" s="876">
        <v>97</v>
      </c>
      <c r="I5" s="1675">
        <v>397</v>
      </c>
      <c r="J5" s="1676">
        <v>434</v>
      </c>
      <c r="K5" s="877">
        <v>109.3</v>
      </c>
    </row>
    <row r="6" spans="1:11" ht="18.899999999999999" customHeight="1">
      <c r="A6" s="2662"/>
      <c r="B6" s="1674" t="s">
        <v>1673</v>
      </c>
      <c r="C6" s="1675">
        <v>183</v>
      </c>
      <c r="D6" s="1675">
        <v>132</v>
      </c>
      <c r="E6" s="876">
        <v>72.099999999999994</v>
      </c>
      <c r="F6" s="1675">
        <v>178</v>
      </c>
      <c r="G6" s="1675">
        <v>108</v>
      </c>
      <c r="H6" s="876">
        <v>60.7</v>
      </c>
      <c r="I6" s="1675">
        <v>192</v>
      </c>
      <c r="J6" s="1676">
        <v>124</v>
      </c>
      <c r="K6" s="877">
        <v>64.599999999999994</v>
      </c>
    </row>
    <row r="7" spans="1:11" s="1678" customFormat="1" ht="18.899999999999999" customHeight="1">
      <c r="A7" s="2662"/>
      <c r="B7" s="1677" t="s">
        <v>1674</v>
      </c>
      <c r="C7" s="878" t="s">
        <v>384</v>
      </c>
      <c r="D7" s="878" t="s">
        <v>384</v>
      </c>
      <c r="E7" s="879" t="s">
        <v>345</v>
      </c>
      <c r="F7" s="878" t="s">
        <v>384</v>
      </c>
      <c r="G7" s="878" t="s">
        <v>384</v>
      </c>
      <c r="H7" s="879" t="s">
        <v>345</v>
      </c>
      <c r="I7" s="878" t="s">
        <v>384</v>
      </c>
      <c r="J7" s="880" t="s">
        <v>384</v>
      </c>
      <c r="K7" s="881" t="s">
        <v>345</v>
      </c>
    </row>
    <row r="8" spans="1:11" s="1678" customFormat="1" ht="18.899999999999999" customHeight="1">
      <c r="A8" s="2662"/>
      <c r="B8" s="1677" t="s">
        <v>1675</v>
      </c>
      <c r="C8" s="878" t="s">
        <v>384</v>
      </c>
      <c r="D8" s="878" t="s">
        <v>384</v>
      </c>
      <c r="E8" s="882" t="s">
        <v>345</v>
      </c>
      <c r="F8" s="878" t="s">
        <v>384</v>
      </c>
      <c r="G8" s="878" t="s">
        <v>384</v>
      </c>
      <c r="H8" s="882" t="s">
        <v>345</v>
      </c>
      <c r="I8" s="878" t="s">
        <v>384</v>
      </c>
      <c r="J8" s="880" t="s">
        <v>384</v>
      </c>
      <c r="K8" s="883" t="s">
        <v>345</v>
      </c>
    </row>
    <row r="9" spans="1:11" s="1678" customFormat="1" ht="18.899999999999999" customHeight="1">
      <c r="A9" s="2662"/>
      <c r="B9" s="1674" t="s">
        <v>1676</v>
      </c>
      <c r="C9" s="884">
        <v>809</v>
      </c>
      <c r="D9" s="884">
        <v>484</v>
      </c>
      <c r="E9" s="876">
        <v>59.8</v>
      </c>
      <c r="F9" s="884">
        <v>1020</v>
      </c>
      <c r="G9" s="884">
        <v>607</v>
      </c>
      <c r="H9" s="876">
        <v>59.5</v>
      </c>
      <c r="I9" s="884">
        <v>747</v>
      </c>
      <c r="J9" s="885">
        <v>551</v>
      </c>
      <c r="K9" s="877">
        <v>73.8</v>
      </c>
    </row>
    <row r="10" spans="1:11" s="1678" customFormat="1" ht="18.899999999999999" customHeight="1">
      <c r="A10" s="2662"/>
      <c r="B10" s="1674" t="s">
        <v>1677</v>
      </c>
      <c r="C10" s="879" t="s">
        <v>384</v>
      </c>
      <c r="D10" s="879" t="s">
        <v>384</v>
      </c>
      <c r="E10" s="879" t="s">
        <v>345</v>
      </c>
      <c r="F10" s="879" t="s">
        <v>384</v>
      </c>
      <c r="G10" s="879" t="s">
        <v>384</v>
      </c>
      <c r="H10" s="879" t="s">
        <v>345</v>
      </c>
      <c r="I10" s="879" t="s">
        <v>384</v>
      </c>
      <c r="J10" s="886" t="s">
        <v>384</v>
      </c>
      <c r="K10" s="881" t="s">
        <v>345</v>
      </c>
    </row>
    <row r="11" spans="1:11" s="1678" customFormat="1" ht="18.899999999999999" customHeight="1">
      <c r="A11" s="2662"/>
      <c r="B11" s="1674" t="s">
        <v>1678</v>
      </c>
      <c r="C11" s="879" t="s">
        <v>384</v>
      </c>
      <c r="D11" s="879" t="s">
        <v>384</v>
      </c>
      <c r="E11" s="882" t="s">
        <v>345</v>
      </c>
      <c r="F11" s="879" t="s">
        <v>384</v>
      </c>
      <c r="G11" s="879" t="s">
        <v>384</v>
      </c>
      <c r="H11" s="882" t="s">
        <v>345</v>
      </c>
      <c r="I11" s="879" t="s">
        <v>384</v>
      </c>
      <c r="J11" s="886" t="s">
        <v>384</v>
      </c>
      <c r="K11" s="883" t="s">
        <v>345</v>
      </c>
    </row>
    <row r="12" spans="1:11" s="1678" customFormat="1" ht="18.75" customHeight="1">
      <c r="A12" s="2662"/>
      <c r="B12" s="1674" t="s">
        <v>1679</v>
      </c>
      <c r="C12" s="1675">
        <v>128</v>
      </c>
      <c r="D12" s="1675">
        <v>120</v>
      </c>
      <c r="E12" s="876">
        <v>93.8</v>
      </c>
      <c r="F12" s="1675">
        <v>119</v>
      </c>
      <c r="G12" s="1675">
        <v>113</v>
      </c>
      <c r="H12" s="876">
        <v>95</v>
      </c>
      <c r="I12" s="1675">
        <v>100</v>
      </c>
      <c r="J12" s="1676">
        <v>96</v>
      </c>
      <c r="K12" s="877">
        <v>96</v>
      </c>
    </row>
    <row r="13" spans="1:11" s="1678" customFormat="1" ht="18.899999999999999" customHeight="1">
      <c r="A13" s="2662"/>
      <c r="B13" s="1674" t="s">
        <v>1680</v>
      </c>
      <c r="C13" s="1675">
        <v>162</v>
      </c>
      <c r="D13" s="1675">
        <v>134</v>
      </c>
      <c r="E13" s="876">
        <v>82.7</v>
      </c>
      <c r="F13" s="1675">
        <v>137</v>
      </c>
      <c r="G13" s="1675">
        <v>115</v>
      </c>
      <c r="H13" s="876">
        <v>83.9</v>
      </c>
      <c r="I13" s="1675">
        <v>151</v>
      </c>
      <c r="J13" s="1676">
        <v>121</v>
      </c>
      <c r="K13" s="877">
        <v>80.099999999999994</v>
      </c>
    </row>
    <row r="14" spans="1:11" s="1678" customFormat="1" ht="18.899999999999999" customHeight="1">
      <c r="A14" s="2662"/>
      <c r="B14" s="1674" t="s">
        <v>1681</v>
      </c>
      <c r="C14" s="879" t="s">
        <v>384</v>
      </c>
      <c r="D14" s="879" t="s">
        <v>384</v>
      </c>
      <c r="E14" s="879" t="s">
        <v>345</v>
      </c>
      <c r="F14" s="879" t="s">
        <v>384</v>
      </c>
      <c r="G14" s="879" t="s">
        <v>384</v>
      </c>
      <c r="H14" s="879" t="s">
        <v>345</v>
      </c>
      <c r="I14" s="879" t="s">
        <v>384</v>
      </c>
      <c r="J14" s="886" t="s">
        <v>384</v>
      </c>
      <c r="K14" s="881" t="s">
        <v>345</v>
      </c>
    </row>
    <row r="15" spans="1:11" s="1678" customFormat="1" ht="18.899999999999999" customHeight="1">
      <c r="A15" s="2662"/>
      <c r="B15" s="1674" t="s">
        <v>1682</v>
      </c>
      <c r="C15" s="879" t="s">
        <v>384</v>
      </c>
      <c r="D15" s="879" t="s">
        <v>384</v>
      </c>
      <c r="E15" s="882" t="s">
        <v>345</v>
      </c>
      <c r="F15" s="879" t="s">
        <v>384</v>
      </c>
      <c r="G15" s="879" t="s">
        <v>384</v>
      </c>
      <c r="H15" s="882" t="s">
        <v>345</v>
      </c>
      <c r="I15" s="879" t="s">
        <v>384</v>
      </c>
      <c r="J15" s="886" t="s">
        <v>384</v>
      </c>
      <c r="K15" s="883" t="s">
        <v>345</v>
      </c>
    </row>
    <row r="16" spans="1:11" s="1678" customFormat="1" ht="18.899999999999999" customHeight="1">
      <c r="A16" s="2662"/>
      <c r="B16" s="1674" t="s">
        <v>1683</v>
      </c>
      <c r="C16" s="884">
        <v>122</v>
      </c>
      <c r="D16" s="884">
        <v>113</v>
      </c>
      <c r="E16" s="876">
        <v>92.6</v>
      </c>
      <c r="F16" s="884">
        <v>106</v>
      </c>
      <c r="G16" s="884">
        <v>100</v>
      </c>
      <c r="H16" s="876">
        <v>94.3</v>
      </c>
      <c r="I16" s="884">
        <v>101</v>
      </c>
      <c r="J16" s="885">
        <v>105</v>
      </c>
      <c r="K16" s="877">
        <v>104</v>
      </c>
    </row>
    <row r="17" spans="1:11" s="1678" customFormat="1" ht="18.899999999999999" customHeight="1">
      <c r="A17" s="2662"/>
      <c r="B17" s="1674" t="s">
        <v>1684</v>
      </c>
      <c r="C17" s="884">
        <v>488</v>
      </c>
      <c r="D17" s="884">
        <v>457</v>
      </c>
      <c r="E17" s="876">
        <v>93.6</v>
      </c>
      <c r="F17" s="884">
        <v>424</v>
      </c>
      <c r="G17" s="884">
        <v>403</v>
      </c>
      <c r="H17" s="876">
        <v>95</v>
      </c>
      <c r="I17" s="884">
        <v>404</v>
      </c>
      <c r="J17" s="885">
        <v>407</v>
      </c>
      <c r="K17" s="877">
        <v>100.7</v>
      </c>
    </row>
    <row r="18" spans="1:11" s="1678" customFormat="1" ht="18.899999999999999" customHeight="1">
      <c r="A18" s="2662"/>
      <c r="B18" s="1674" t="s">
        <v>1685</v>
      </c>
      <c r="C18" s="884">
        <v>488</v>
      </c>
      <c r="D18" s="884">
        <v>459</v>
      </c>
      <c r="E18" s="876">
        <v>94.1</v>
      </c>
      <c r="F18" s="884">
        <v>424</v>
      </c>
      <c r="G18" s="884">
        <v>402</v>
      </c>
      <c r="H18" s="876">
        <v>94.8</v>
      </c>
      <c r="I18" s="884">
        <v>404</v>
      </c>
      <c r="J18" s="885">
        <v>408</v>
      </c>
      <c r="K18" s="877">
        <v>101</v>
      </c>
    </row>
    <row r="19" spans="1:11" s="1678" customFormat="1" ht="18.899999999999999" customHeight="1">
      <c r="A19" s="2662"/>
      <c r="B19" s="1674" t="s">
        <v>1686</v>
      </c>
      <c r="C19" s="884">
        <v>252</v>
      </c>
      <c r="D19" s="884">
        <v>55</v>
      </c>
      <c r="E19" s="876">
        <v>21.8</v>
      </c>
      <c r="F19" s="884">
        <v>1260</v>
      </c>
      <c r="G19" s="884">
        <v>256</v>
      </c>
      <c r="H19" s="882">
        <v>20.3</v>
      </c>
      <c r="I19" s="884">
        <v>1147</v>
      </c>
      <c r="J19" s="885">
        <v>337</v>
      </c>
      <c r="K19" s="883">
        <v>29.4</v>
      </c>
    </row>
    <row r="20" spans="1:11" s="1678" customFormat="1" ht="18.899999999999999" customHeight="1">
      <c r="A20" s="2662"/>
      <c r="B20" s="1674" t="s">
        <v>1687</v>
      </c>
      <c r="C20" s="884">
        <v>256</v>
      </c>
      <c r="D20" s="884">
        <v>243</v>
      </c>
      <c r="E20" s="876">
        <v>94.9</v>
      </c>
      <c r="F20" s="884">
        <v>238</v>
      </c>
      <c r="G20" s="884">
        <v>214</v>
      </c>
      <c r="H20" s="876">
        <v>89.9</v>
      </c>
      <c r="I20" s="884">
        <v>200</v>
      </c>
      <c r="J20" s="885">
        <v>196</v>
      </c>
      <c r="K20" s="877">
        <v>98</v>
      </c>
    </row>
    <row r="21" spans="1:11" s="1678" customFormat="1" ht="18.899999999999999" customHeight="1">
      <c r="A21" s="2663"/>
      <c r="B21" s="1674" t="s">
        <v>1688</v>
      </c>
      <c r="C21" s="884">
        <v>366</v>
      </c>
      <c r="D21" s="884">
        <v>348</v>
      </c>
      <c r="E21" s="876">
        <v>95.1</v>
      </c>
      <c r="F21" s="884">
        <v>318</v>
      </c>
      <c r="G21" s="884">
        <v>295</v>
      </c>
      <c r="H21" s="876">
        <v>92.8</v>
      </c>
      <c r="I21" s="884">
        <v>303</v>
      </c>
      <c r="J21" s="885">
        <v>309</v>
      </c>
      <c r="K21" s="877">
        <v>102</v>
      </c>
    </row>
    <row r="22" spans="1:11" s="1678" customFormat="1" ht="18.899999999999999" customHeight="1">
      <c r="A22" s="2654" t="s">
        <v>1689</v>
      </c>
      <c r="B22" s="1671" t="s">
        <v>1690</v>
      </c>
      <c r="C22" s="887">
        <v>4411</v>
      </c>
      <c r="D22" s="887">
        <v>2019</v>
      </c>
      <c r="E22" s="888">
        <v>45.8</v>
      </c>
      <c r="F22" s="887">
        <v>4165</v>
      </c>
      <c r="G22" s="887">
        <v>1955</v>
      </c>
      <c r="H22" s="888">
        <v>46.9</v>
      </c>
      <c r="I22" s="887">
        <v>3879</v>
      </c>
      <c r="J22" s="1679">
        <v>1864</v>
      </c>
      <c r="K22" s="1680">
        <v>48.1</v>
      </c>
    </row>
    <row r="23" spans="1:11" s="1678" customFormat="1" ht="18.899999999999999" customHeight="1">
      <c r="A23" s="2655"/>
      <c r="B23" s="1674" t="s">
        <v>1691</v>
      </c>
      <c r="C23" s="1675">
        <v>9782</v>
      </c>
      <c r="D23" s="1675">
        <v>533</v>
      </c>
      <c r="E23" s="876">
        <v>5.4</v>
      </c>
      <c r="F23" s="1675">
        <v>10636</v>
      </c>
      <c r="G23" s="1675">
        <v>565</v>
      </c>
      <c r="H23" s="876">
        <v>5.3</v>
      </c>
      <c r="I23" s="1675">
        <v>10636</v>
      </c>
      <c r="J23" s="1676">
        <v>511</v>
      </c>
      <c r="K23" s="877">
        <v>4.8</v>
      </c>
    </row>
    <row r="24" spans="1:11" s="1678" customFormat="1" ht="18.899999999999999" customHeight="1">
      <c r="A24" s="2655"/>
      <c r="B24" s="1674" t="s">
        <v>1692</v>
      </c>
      <c r="C24" s="1675">
        <v>9782</v>
      </c>
      <c r="D24" s="1675">
        <v>1288</v>
      </c>
      <c r="E24" s="876">
        <v>13.2</v>
      </c>
      <c r="F24" s="1675">
        <v>10636</v>
      </c>
      <c r="G24" s="1675">
        <v>1342</v>
      </c>
      <c r="H24" s="876">
        <v>12.6</v>
      </c>
      <c r="I24" s="1675">
        <v>10636</v>
      </c>
      <c r="J24" s="1676">
        <v>1339</v>
      </c>
      <c r="K24" s="877">
        <v>12.6</v>
      </c>
    </row>
    <row r="25" spans="1:11" s="1678" customFormat="1" ht="18.899999999999999" customHeight="1">
      <c r="A25" s="2655"/>
      <c r="B25" s="1674" t="s">
        <v>1693</v>
      </c>
      <c r="C25" s="1675">
        <v>5999</v>
      </c>
      <c r="D25" s="1675">
        <v>548</v>
      </c>
      <c r="E25" s="876">
        <v>9.1</v>
      </c>
      <c r="F25" s="1675">
        <v>6381</v>
      </c>
      <c r="G25" s="1675">
        <v>567</v>
      </c>
      <c r="H25" s="876">
        <v>8.9</v>
      </c>
      <c r="I25" s="1675">
        <v>6381</v>
      </c>
      <c r="J25" s="1676">
        <v>541</v>
      </c>
      <c r="K25" s="877">
        <v>8.5</v>
      </c>
    </row>
    <row r="26" spans="1:11" s="1678" customFormat="1" ht="18.899999999999999" customHeight="1">
      <c r="A26" s="2655"/>
      <c r="B26" s="1674" t="s">
        <v>1694</v>
      </c>
      <c r="C26" s="1675">
        <v>6631</v>
      </c>
      <c r="D26" s="1675">
        <v>332</v>
      </c>
      <c r="E26" s="876">
        <v>5</v>
      </c>
      <c r="F26" s="1675">
        <v>6686</v>
      </c>
      <c r="G26" s="1675">
        <v>311</v>
      </c>
      <c r="H26" s="876">
        <v>4.7</v>
      </c>
      <c r="I26" s="1675">
        <v>6686</v>
      </c>
      <c r="J26" s="1676">
        <v>258</v>
      </c>
      <c r="K26" s="877">
        <v>3.9</v>
      </c>
    </row>
    <row r="27" spans="1:11" s="1678" customFormat="1" ht="18.899999999999999" customHeight="1">
      <c r="A27" s="2655"/>
      <c r="B27" s="1674" t="s">
        <v>1695</v>
      </c>
      <c r="C27" s="884">
        <v>9782</v>
      </c>
      <c r="D27" s="884">
        <v>2050</v>
      </c>
      <c r="E27" s="876">
        <v>21</v>
      </c>
      <c r="F27" s="884">
        <v>10312</v>
      </c>
      <c r="G27" s="884">
        <v>2043</v>
      </c>
      <c r="H27" s="876">
        <v>19.8</v>
      </c>
      <c r="I27" s="884">
        <v>10312</v>
      </c>
      <c r="J27" s="885">
        <v>1916</v>
      </c>
      <c r="K27" s="877">
        <v>18.600000000000001</v>
      </c>
    </row>
    <row r="28" spans="1:11" s="1678" customFormat="1" ht="18.899999999999999" customHeight="1">
      <c r="A28" s="2655"/>
      <c r="B28" s="1674" t="s">
        <v>1696</v>
      </c>
      <c r="C28" s="1675">
        <v>9782</v>
      </c>
      <c r="D28" s="1675">
        <v>1978</v>
      </c>
      <c r="E28" s="876">
        <v>20.2</v>
      </c>
      <c r="F28" s="1675">
        <v>10312</v>
      </c>
      <c r="G28" s="1675">
        <v>1965</v>
      </c>
      <c r="H28" s="876">
        <v>19.100000000000001</v>
      </c>
      <c r="I28" s="1675">
        <v>10312</v>
      </c>
      <c r="J28" s="1676">
        <v>1849</v>
      </c>
      <c r="K28" s="877">
        <v>17.899999999999999</v>
      </c>
    </row>
    <row r="29" spans="1:11" s="1678" customFormat="1" ht="18.899999999999999" customHeight="1" thickBot="1">
      <c r="A29" s="2656"/>
      <c r="B29" s="1681" t="s">
        <v>1697</v>
      </c>
      <c r="C29" s="1682">
        <v>3787</v>
      </c>
      <c r="D29" s="1682">
        <v>510</v>
      </c>
      <c r="E29" s="889">
        <v>13.5</v>
      </c>
      <c r="F29" s="1682">
        <v>3948</v>
      </c>
      <c r="G29" s="1682">
        <v>574</v>
      </c>
      <c r="H29" s="889">
        <v>14.5</v>
      </c>
      <c r="I29" s="1682">
        <v>3948</v>
      </c>
      <c r="J29" s="1683">
        <v>559</v>
      </c>
      <c r="K29" s="1684">
        <v>14.1</v>
      </c>
    </row>
    <row r="30" spans="1:11" s="1685" customFormat="1" ht="16.2" customHeight="1">
      <c r="A30" s="1685" t="s">
        <v>1698</v>
      </c>
      <c r="E30" s="1686"/>
    </row>
    <row r="31" spans="1:11" s="1685" customFormat="1" ht="16.2" customHeight="1">
      <c r="A31" s="1685" t="s">
        <v>1699</v>
      </c>
    </row>
    <row r="32" spans="1:11" s="1685" customFormat="1" ht="16.2" customHeight="1">
      <c r="A32" s="1685" t="s">
        <v>1700</v>
      </c>
    </row>
    <row r="33" spans="1:11" s="1685" customFormat="1" ht="16.2" customHeight="1">
      <c r="A33" s="1685" t="s">
        <v>1701</v>
      </c>
    </row>
    <row r="34" spans="1:11" s="1685" customFormat="1" ht="16.2" customHeight="1">
      <c r="A34" s="1685" t="s">
        <v>1702</v>
      </c>
    </row>
    <row r="35" spans="1:11" s="1685" customFormat="1" ht="16.2" customHeight="1">
      <c r="B35" s="1685" t="s">
        <v>1703</v>
      </c>
      <c r="C35" s="454"/>
      <c r="D35" s="454"/>
      <c r="E35" s="454"/>
      <c r="F35" s="454"/>
      <c r="G35" s="454"/>
      <c r="H35" s="454"/>
      <c r="I35" s="454"/>
      <c r="J35" s="454"/>
      <c r="K35" s="454"/>
    </row>
    <row r="36" spans="1:11" s="454" customFormat="1" ht="16.2" customHeight="1">
      <c r="A36" s="1685" t="s">
        <v>1704</v>
      </c>
      <c r="C36" s="1174"/>
      <c r="D36" s="1174"/>
      <c r="E36" s="1174"/>
      <c r="F36" s="1174"/>
      <c r="G36" s="1174"/>
      <c r="H36" s="1174"/>
      <c r="I36" s="1174"/>
      <c r="J36" s="1174"/>
      <c r="K36" s="1174"/>
    </row>
    <row r="37" spans="1:11" ht="16.2" customHeight="1">
      <c r="A37" s="1678" t="s">
        <v>1705</v>
      </c>
    </row>
  </sheetData>
  <mergeCells count="6">
    <mergeCell ref="A22:A29"/>
    <mergeCell ref="A2:B3"/>
    <mergeCell ref="C2:E2"/>
    <mergeCell ref="F2:H2"/>
    <mergeCell ref="I2:K2"/>
    <mergeCell ref="A4:A21"/>
  </mergeCells>
  <phoneticPr fontId="4"/>
  <printOptions horizontalCentered="1"/>
  <pageMargins left="0.78740157480314965" right="0.59055118110236227" top="0.98425196850393704" bottom="0.98425196850393704" header="0.51181102362204722" footer="0.51181102362204722"/>
  <pageSetup paperSize="9" scale="95" orientation="portrait" r:id="rId1"/>
  <headerFooter alignWithMargins="0"/>
  <rowBreaks count="1" manualBreakCount="1">
    <brk id="41" max="16383"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283AD-138F-40B8-908A-3EF7B596DD14}">
  <sheetPr codeName="Sheet64">
    <pageSetUpPr fitToPage="1"/>
  </sheetPr>
  <dimension ref="A1:M49"/>
  <sheetViews>
    <sheetView workbookViewId="0"/>
  </sheetViews>
  <sheetFormatPr defaultColWidth="9" defaultRowHeight="10.8"/>
  <cols>
    <col min="1" max="1" width="8.8984375" style="11" customWidth="1"/>
    <col min="2" max="10" width="7.69921875" style="11" customWidth="1"/>
    <col min="11" max="16384" width="9" style="11"/>
  </cols>
  <sheetData>
    <row r="1" spans="1:12" ht="30" customHeight="1" thickBot="1">
      <c r="A1" s="259" t="s">
        <v>1706</v>
      </c>
    </row>
    <row r="2" spans="1:12" ht="21" customHeight="1">
      <c r="A2" s="2180" t="s">
        <v>1562</v>
      </c>
      <c r="B2" s="2205" t="s">
        <v>1707</v>
      </c>
      <c r="C2" s="2183" t="s">
        <v>1708</v>
      </c>
      <c r="D2" s="2664"/>
      <c r="E2" s="2664"/>
      <c r="F2" s="2665"/>
      <c r="G2" s="2183" t="s">
        <v>1709</v>
      </c>
      <c r="H2" s="2184"/>
      <c r="I2" s="2184"/>
      <c r="J2" s="2186" t="s">
        <v>1710</v>
      </c>
    </row>
    <row r="3" spans="1:12" ht="25.5" customHeight="1">
      <c r="A3" s="2182"/>
      <c r="B3" s="2193"/>
      <c r="C3" s="544" t="s">
        <v>1711</v>
      </c>
      <c r="D3" s="723" t="s">
        <v>1712</v>
      </c>
      <c r="E3" s="544" t="s">
        <v>1713</v>
      </c>
      <c r="F3" s="547" t="s">
        <v>1714</v>
      </c>
      <c r="G3" s="544" t="s">
        <v>1715</v>
      </c>
      <c r="H3" s="548" t="s">
        <v>1716</v>
      </c>
      <c r="I3" s="542" t="s">
        <v>1717</v>
      </c>
      <c r="J3" s="2666"/>
      <c r="K3" s="253"/>
    </row>
    <row r="4" spans="1:12" ht="21" customHeight="1">
      <c r="A4" s="543"/>
      <c r="B4" s="86" t="s">
        <v>166</v>
      </c>
      <c r="C4" s="86" t="s">
        <v>1718</v>
      </c>
      <c r="D4" s="86" t="s">
        <v>1718</v>
      </c>
      <c r="E4" s="86" t="s">
        <v>1718</v>
      </c>
      <c r="F4" s="86" t="s">
        <v>167</v>
      </c>
      <c r="G4" s="86" t="s">
        <v>167</v>
      </c>
      <c r="H4" s="86" t="s">
        <v>1719</v>
      </c>
      <c r="I4" s="970" t="s">
        <v>1718</v>
      </c>
      <c r="J4" s="970" t="s">
        <v>1718</v>
      </c>
      <c r="K4" s="36"/>
    </row>
    <row r="5" spans="1:12" ht="21" customHeight="1">
      <c r="A5" s="540" t="s">
        <v>1720</v>
      </c>
      <c r="B5" s="682">
        <v>11768</v>
      </c>
      <c r="C5" s="682">
        <v>6003</v>
      </c>
      <c r="D5" s="682">
        <v>176</v>
      </c>
      <c r="E5" s="682">
        <v>6179</v>
      </c>
      <c r="F5" s="682">
        <v>7998</v>
      </c>
      <c r="G5" s="890">
        <f>H5*2</f>
        <v>32</v>
      </c>
      <c r="H5" s="891">
        <v>16</v>
      </c>
      <c r="I5" s="892">
        <v>24.5</v>
      </c>
      <c r="J5" s="1182">
        <v>8486</v>
      </c>
      <c r="K5" s="684"/>
    </row>
    <row r="6" spans="1:12" ht="21" customHeight="1">
      <c r="A6" s="540">
        <v>19</v>
      </c>
      <c r="B6" s="682">
        <v>11787</v>
      </c>
      <c r="C6" s="682">
        <v>5760</v>
      </c>
      <c r="D6" s="682">
        <v>143</v>
      </c>
      <c r="E6" s="682">
        <v>5903</v>
      </c>
      <c r="F6" s="682">
        <v>8872</v>
      </c>
      <c r="G6" s="890">
        <v>36</v>
      </c>
      <c r="H6" s="891">
        <v>18</v>
      </c>
      <c r="I6" s="892">
        <v>23.3</v>
      </c>
      <c r="J6" s="1182">
        <v>7919</v>
      </c>
      <c r="K6" s="684"/>
    </row>
    <row r="7" spans="1:12" ht="21" customHeight="1">
      <c r="A7" s="540">
        <v>20</v>
      </c>
      <c r="B7" s="682">
        <v>11871</v>
      </c>
      <c r="C7" s="682">
        <v>5502</v>
      </c>
      <c r="D7" s="682">
        <v>131</v>
      </c>
      <c r="E7" s="682">
        <v>5633</v>
      </c>
      <c r="F7" s="682">
        <v>8260</v>
      </c>
      <c r="G7" s="890">
        <v>32</v>
      </c>
      <c r="H7" s="891">
        <v>16</v>
      </c>
      <c r="I7" s="892">
        <v>22.1</v>
      </c>
      <c r="J7" s="1182">
        <v>7523</v>
      </c>
      <c r="K7" s="253"/>
      <c r="L7" s="253"/>
    </row>
    <row r="8" spans="1:12" ht="21" customHeight="1">
      <c r="A8" s="540">
        <v>21</v>
      </c>
      <c r="B8" s="682">
        <v>11872</v>
      </c>
      <c r="C8" s="682">
        <v>5319</v>
      </c>
      <c r="D8" s="682">
        <v>116</v>
      </c>
      <c r="E8" s="682">
        <v>5435</v>
      </c>
      <c r="F8" s="682">
        <v>7832</v>
      </c>
      <c r="G8" s="890">
        <v>32</v>
      </c>
      <c r="H8" s="891">
        <v>16</v>
      </c>
      <c r="I8" s="892">
        <v>21.6</v>
      </c>
      <c r="J8" s="1182">
        <v>7272</v>
      </c>
      <c r="K8" s="253"/>
      <c r="L8" s="253"/>
    </row>
    <row r="9" spans="1:12" ht="21" customHeight="1">
      <c r="A9" s="540">
        <v>22</v>
      </c>
      <c r="B9" s="762">
        <v>11935</v>
      </c>
      <c r="C9" s="762">
        <v>5213</v>
      </c>
      <c r="D9" s="762">
        <v>103</v>
      </c>
      <c r="E9" s="762">
        <v>5316</v>
      </c>
      <c r="F9" s="762">
        <v>7438</v>
      </c>
      <c r="G9" s="764">
        <v>30</v>
      </c>
      <c r="H9" s="762">
        <v>15</v>
      </c>
      <c r="I9" s="893">
        <v>20.7</v>
      </c>
      <c r="J9" s="773">
        <v>7470</v>
      </c>
      <c r="K9" s="684"/>
    </row>
    <row r="10" spans="1:12" ht="21" customHeight="1">
      <c r="A10" s="540">
        <v>23</v>
      </c>
      <c r="B10" s="762">
        <v>11975</v>
      </c>
      <c r="C10" s="762">
        <v>5207</v>
      </c>
      <c r="D10" s="762">
        <v>102</v>
      </c>
      <c r="E10" s="762">
        <v>5309</v>
      </c>
      <c r="F10" s="762">
        <v>7516</v>
      </c>
      <c r="G10" s="764">
        <v>29</v>
      </c>
      <c r="H10" s="762">
        <v>15</v>
      </c>
      <c r="I10" s="893">
        <v>20.8</v>
      </c>
      <c r="J10" s="773">
        <v>7556</v>
      </c>
      <c r="K10" s="684"/>
    </row>
    <row r="11" spans="1:12" ht="21" customHeight="1">
      <c r="A11" s="540">
        <v>24</v>
      </c>
      <c r="B11" s="762">
        <v>11966</v>
      </c>
      <c r="C11" s="762">
        <v>5174</v>
      </c>
      <c r="D11" s="762">
        <v>97</v>
      </c>
      <c r="E11" s="762">
        <v>5271</v>
      </c>
      <c r="F11" s="762">
        <v>7518</v>
      </c>
      <c r="G11" s="764">
        <v>30</v>
      </c>
      <c r="H11" s="762">
        <v>15</v>
      </c>
      <c r="I11" s="893">
        <v>20.8</v>
      </c>
      <c r="J11" s="773">
        <v>7519</v>
      </c>
      <c r="K11" s="253"/>
      <c r="L11" s="253"/>
    </row>
    <row r="12" spans="1:12" ht="21" customHeight="1">
      <c r="A12" s="540">
        <v>25</v>
      </c>
      <c r="B12" s="762">
        <v>11728</v>
      </c>
      <c r="C12" s="762">
        <v>5055</v>
      </c>
      <c r="D12" s="762">
        <v>95</v>
      </c>
      <c r="E12" s="762">
        <v>5150</v>
      </c>
      <c r="F12" s="762">
        <v>7552</v>
      </c>
      <c r="G12" s="764">
        <v>30</v>
      </c>
      <c r="H12" s="762">
        <v>15</v>
      </c>
      <c r="I12" s="893">
        <v>20.2</v>
      </c>
      <c r="J12" s="773">
        <v>7187</v>
      </c>
      <c r="K12" s="684"/>
    </row>
    <row r="13" spans="1:12" ht="21" customHeight="1">
      <c r="A13" s="540">
        <v>26</v>
      </c>
      <c r="B13" s="762">
        <v>11775</v>
      </c>
      <c r="C13" s="762">
        <v>4934</v>
      </c>
      <c r="D13" s="762">
        <v>87</v>
      </c>
      <c r="E13" s="762">
        <v>5021</v>
      </c>
      <c r="F13" s="762">
        <v>6958</v>
      </c>
      <c r="G13" s="764">
        <v>27</v>
      </c>
      <c r="H13" s="762">
        <v>14</v>
      </c>
      <c r="I13" s="893">
        <v>19.600000000000001</v>
      </c>
      <c r="J13" s="773">
        <v>7496</v>
      </c>
      <c r="K13" s="684"/>
    </row>
    <row r="14" spans="1:12" ht="21" customHeight="1">
      <c r="A14" s="540">
        <v>27</v>
      </c>
      <c r="B14" s="762">
        <v>11774</v>
      </c>
      <c r="C14" s="762">
        <v>4787</v>
      </c>
      <c r="D14" s="762">
        <v>91</v>
      </c>
      <c r="E14" s="762">
        <v>4878</v>
      </c>
      <c r="F14" s="762">
        <v>7118</v>
      </c>
      <c r="G14" s="764">
        <v>28</v>
      </c>
      <c r="H14" s="762">
        <v>14</v>
      </c>
      <c r="I14" s="893">
        <v>19.2</v>
      </c>
      <c r="J14" s="773">
        <v>7372</v>
      </c>
      <c r="K14" s="253"/>
      <c r="L14" s="253"/>
    </row>
    <row r="15" spans="1:12" ht="21" customHeight="1">
      <c r="A15" s="540">
        <v>28</v>
      </c>
      <c r="B15" s="762">
        <v>11801</v>
      </c>
      <c r="C15" s="762">
        <v>4715</v>
      </c>
      <c r="D15" s="762">
        <v>81</v>
      </c>
      <c r="E15" s="762">
        <v>4796</v>
      </c>
      <c r="F15" s="762">
        <v>6938</v>
      </c>
      <c r="G15" s="764">
        <v>27</v>
      </c>
      <c r="H15" s="762">
        <v>13</v>
      </c>
      <c r="I15" s="893">
        <v>18.8</v>
      </c>
      <c r="J15" s="773">
        <v>7481</v>
      </c>
      <c r="K15" s="253"/>
      <c r="L15" s="253"/>
    </row>
    <row r="16" spans="1:12" ht="21" customHeight="1">
      <c r="A16" s="540">
        <v>29</v>
      </c>
      <c r="B16" s="762">
        <v>11808</v>
      </c>
      <c r="C16" s="762">
        <v>4645.4799999999996</v>
      </c>
      <c r="D16" s="762">
        <v>79.33</v>
      </c>
      <c r="E16" s="762">
        <v>4724.8099999999995</v>
      </c>
      <c r="F16" s="762">
        <v>6718</v>
      </c>
      <c r="G16" s="764">
        <v>26.448818897637796</v>
      </c>
      <c r="H16" s="762">
        <v>13.224409448818898</v>
      </c>
      <c r="I16" s="893">
        <v>18.601614173228345</v>
      </c>
      <c r="J16" s="773">
        <v>7416.683</v>
      </c>
      <c r="K16" s="253"/>
      <c r="L16" s="253"/>
    </row>
    <row r="17" spans="1:13" ht="21" customHeight="1">
      <c r="A17" s="540">
        <v>30</v>
      </c>
      <c r="B17" s="762">
        <v>11817</v>
      </c>
      <c r="C17" s="762">
        <v>4500</v>
      </c>
      <c r="D17" s="762">
        <v>85</v>
      </c>
      <c r="E17" s="762">
        <v>4585</v>
      </c>
      <c r="F17" s="762">
        <v>6128</v>
      </c>
      <c r="G17" s="764">
        <v>24.1</v>
      </c>
      <c r="H17" s="762">
        <v>12.1</v>
      </c>
      <c r="I17" s="893">
        <v>18.100000000000001</v>
      </c>
      <c r="J17" s="773">
        <v>7602</v>
      </c>
      <c r="K17" s="253"/>
      <c r="L17" s="253"/>
    </row>
    <row r="18" spans="1:13" ht="21" customHeight="1">
      <c r="A18" s="540">
        <v>31</v>
      </c>
      <c r="B18" s="762">
        <v>11861</v>
      </c>
      <c r="C18" s="762">
        <v>4452</v>
      </c>
      <c r="D18" s="762">
        <v>78</v>
      </c>
      <c r="E18" s="762">
        <v>4530</v>
      </c>
      <c r="F18" s="762">
        <v>5874</v>
      </c>
      <c r="G18" s="764">
        <v>23</v>
      </c>
      <c r="H18" s="762">
        <v>11.5</v>
      </c>
      <c r="I18" s="893">
        <v>17.8</v>
      </c>
      <c r="J18" s="773">
        <v>7569</v>
      </c>
      <c r="K18" s="253"/>
      <c r="L18" s="253"/>
    </row>
    <row r="19" spans="1:13" ht="21" customHeight="1">
      <c r="A19" s="540" t="s">
        <v>1721</v>
      </c>
      <c r="B19" s="762">
        <v>11877</v>
      </c>
      <c r="C19" s="762">
        <v>4245</v>
      </c>
      <c r="D19" s="762">
        <v>80</v>
      </c>
      <c r="E19" s="762">
        <v>4325</v>
      </c>
      <c r="F19" s="762">
        <v>5824</v>
      </c>
      <c r="G19" s="764">
        <v>22.9</v>
      </c>
      <c r="H19" s="762">
        <v>11.5</v>
      </c>
      <c r="I19" s="893">
        <v>17</v>
      </c>
      <c r="J19" s="773">
        <v>7123</v>
      </c>
      <c r="K19" s="253"/>
      <c r="L19" s="253"/>
    </row>
    <row r="20" spans="1:13" ht="21" customHeight="1">
      <c r="A20" s="540">
        <v>3</v>
      </c>
      <c r="B20" s="762">
        <v>11926</v>
      </c>
      <c r="C20" s="762">
        <v>4104</v>
      </c>
      <c r="D20" s="762">
        <v>64</v>
      </c>
      <c r="E20" s="762">
        <v>4168</v>
      </c>
      <c r="F20" s="762">
        <v>5822</v>
      </c>
      <c r="G20" s="764">
        <v>23</v>
      </c>
      <c r="H20" s="762">
        <v>11</v>
      </c>
      <c r="I20" s="893">
        <v>16.399999999999999</v>
      </c>
      <c r="J20" s="773">
        <v>6903</v>
      </c>
      <c r="K20" s="253"/>
      <c r="L20" s="253"/>
    </row>
    <row r="21" spans="1:13" ht="21" customHeight="1">
      <c r="A21" s="540">
        <v>4</v>
      </c>
      <c r="B21" s="762">
        <v>11899</v>
      </c>
      <c r="C21" s="762">
        <v>4024</v>
      </c>
      <c r="D21" s="762">
        <v>59</v>
      </c>
      <c r="E21" s="762">
        <v>4083</v>
      </c>
      <c r="F21" s="762">
        <v>5622</v>
      </c>
      <c r="G21" s="764">
        <v>22</v>
      </c>
      <c r="H21" s="762">
        <v>11</v>
      </c>
      <c r="I21" s="893">
        <v>16.3</v>
      </c>
      <c r="J21" s="773">
        <v>6953</v>
      </c>
      <c r="K21" s="253"/>
      <c r="L21" s="253"/>
    </row>
    <row r="22" spans="1:13" ht="21" customHeight="1">
      <c r="A22" s="540">
        <v>5</v>
      </c>
      <c r="B22" s="762">
        <v>11941</v>
      </c>
      <c r="C22" s="762">
        <v>3756</v>
      </c>
      <c r="D22" s="762">
        <v>50</v>
      </c>
      <c r="E22" s="762">
        <v>3806</v>
      </c>
      <c r="F22" s="762">
        <v>5379</v>
      </c>
      <c r="G22" s="764">
        <v>21</v>
      </c>
      <c r="H22" s="762">
        <v>11</v>
      </c>
      <c r="I22" s="893">
        <v>15</v>
      </c>
      <c r="J22" s="773">
        <v>6692</v>
      </c>
      <c r="K22" s="545"/>
      <c r="L22" s="545"/>
    </row>
    <row r="23" spans="1:13" ht="21" customHeight="1" thickBot="1">
      <c r="A23" s="919"/>
      <c r="B23" s="852"/>
      <c r="C23" s="852"/>
      <c r="D23" s="852"/>
      <c r="E23" s="852"/>
      <c r="F23" s="852"/>
      <c r="G23" s="766"/>
      <c r="H23" s="767"/>
      <c r="I23" s="894"/>
      <c r="J23" s="1183"/>
      <c r="K23" s="36"/>
      <c r="L23" s="36"/>
    </row>
    <row r="24" spans="1:13" ht="16.8" customHeight="1">
      <c r="A24" s="2200" t="s">
        <v>1722</v>
      </c>
      <c r="B24" s="2200"/>
      <c r="C24" s="2200"/>
      <c r="D24" s="2200"/>
      <c r="E24" s="2200"/>
      <c r="F24" s="2200"/>
      <c r="G24" s="2200"/>
      <c r="H24" s="2200"/>
      <c r="I24" s="2200"/>
      <c r="J24" s="2200"/>
      <c r="L24" s="684"/>
      <c r="M24" s="684"/>
    </row>
    <row r="25" spans="1:13" ht="16.8" customHeight="1">
      <c r="A25" s="11" t="s">
        <v>1723</v>
      </c>
    </row>
    <row r="26" spans="1:13" ht="16.8" customHeight="1">
      <c r="A26" s="11" t="s">
        <v>1724</v>
      </c>
    </row>
    <row r="27" spans="1:13" ht="16.8" customHeight="1">
      <c r="A27" s="11" t="s">
        <v>1725</v>
      </c>
    </row>
    <row r="28" spans="1:13" ht="16.8" customHeight="1">
      <c r="A28" s="11" t="s">
        <v>1726</v>
      </c>
    </row>
    <row r="29" spans="1:13" ht="16.8" customHeight="1">
      <c r="A29" s="11" t="s">
        <v>1727</v>
      </c>
    </row>
    <row r="30" spans="1:13" ht="16.8" customHeight="1">
      <c r="A30" s="11" t="s">
        <v>1728</v>
      </c>
    </row>
    <row r="31" spans="1:13" ht="16.8" customHeight="1">
      <c r="A31" s="11" t="s">
        <v>1729</v>
      </c>
    </row>
    <row r="32" spans="1:13" ht="16.8" customHeight="1">
      <c r="A32" s="11" t="s">
        <v>1730</v>
      </c>
    </row>
    <row r="33" spans="1:1" ht="16.8" customHeight="1">
      <c r="A33" s="11" t="s">
        <v>1731</v>
      </c>
    </row>
    <row r="34" spans="1:1" ht="18" customHeight="1"/>
    <row r="35" spans="1:1" ht="18" customHeight="1"/>
    <row r="36" spans="1:1" ht="18" customHeight="1"/>
    <row r="37" spans="1:1" ht="18" customHeight="1"/>
    <row r="38" spans="1:1" ht="18" customHeight="1"/>
    <row r="39" spans="1:1" ht="18" customHeight="1"/>
    <row r="40" spans="1:1" ht="18" customHeight="1"/>
    <row r="41" spans="1:1" ht="18" customHeight="1"/>
    <row r="42" spans="1:1" ht="18" customHeight="1"/>
    <row r="43" spans="1:1" ht="18" customHeight="1"/>
    <row r="44" spans="1:1" ht="18" customHeight="1"/>
    <row r="45" spans="1:1" ht="18" customHeight="1"/>
    <row r="46" spans="1:1" ht="18" customHeight="1"/>
    <row r="47" spans="1:1" ht="18" customHeight="1"/>
    <row r="48" spans="1:1" ht="18" customHeight="1"/>
    <row r="49" ht="18" customHeight="1"/>
  </sheetData>
  <mergeCells count="6">
    <mergeCell ref="A24:J24"/>
    <mergeCell ref="A2:A3"/>
    <mergeCell ref="B2:B3"/>
    <mergeCell ref="C2:F2"/>
    <mergeCell ref="G2:I2"/>
    <mergeCell ref="J2:J3"/>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796C7-9908-4663-9748-D609B443A1DB}">
  <sheetPr codeName="Sheet65"/>
  <dimension ref="A1:D29"/>
  <sheetViews>
    <sheetView zoomScaleNormal="100" workbookViewId="0"/>
  </sheetViews>
  <sheetFormatPr defaultColWidth="9" defaultRowHeight="10.8"/>
  <cols>
    <col min="1" max="1" width="15.59765625" style="11" customWidth="1"/>
    <col min="2" max="3" width="17.59765625" style="11" customWidth="1"/>
    <col min="4" max="16384" width="9" style="11"/>
  </cols>
  <sheetData>
    <row r="1" spans="1:4" ht="30" customHeight="1" thickBot="1">
      <c r="A1" s="259" t="s">
        <v>1732</v>
      </c>
    </row>
    <row r="2" spans="1:4" ht="20.25" customHeight="1">
      <c r="A2" s="2180" t="s">
        <v>1733</v>
      </c>
      <c r="B2" s="2183" t="s">
        <v>1734</v>
      </c>
      <c r="C2" s="2184"/>
    </row>
    <row r="3" spans="1:4" ht="20.25" customHeight="1">
      <c r="A3" s="2182"/>
      <c r="B3" s="246" t="s">
        <v>1735</v>
      </c>
      <c r="C3" s="241" t="s">
        <v>1736</v>
      </c>
    </row>
    <row r="4" spans="1:4" ht="20.25" customHeight="1">
      <c r="A4" s="243"/>
      <c r="B4" s="86" t="s">
        <v>1718</v>
      </c>
      <c r="C4" s="39" t="s">
        <v>1718</v>
      </c>
    </row>
    <row r="5" spans="1:4" ht="20.25" customHeight="1">
      <c r="A5" s="247" t="s">
        <v>1069</v>
      </c>
      <c r="B5" s="895">
        <v>17399</v>
      </c>
      <c r="C5" s="896">
        <v>17399</v>
      </c>
    </row>
    <row r="6" spans="1:4" ht="20.25" customHeight="1">
      <c r="A6" s="247">
        <v>16</v>
      </c>
      <c r="B6" s="895">
        <v>16313</v>
      </c>
      <c r="C6" s="896">
        <v>16418</v>
      </c>
    </row>
    <row r="7" spans="1:4" ht="20.25" customHeight="1">
      <c r="A7" s="247">
        <v>17</v>
      </c>
      <c r="B7" s="895">
        <v>15000</v>
      </c>
      <c r="C7" s="896">
        <v>16379</v>
      </c>
    </row>
    <row r="8" spans="1:4" ht="20.25" customHeight="1">
      <c r="A8" s="247">
        <v>18</v>
      </c>
      <c r="B8" s="895">
        <v>15603</v>
      </c>
      <c r="C8" s="896">
        <v>16331</v>
      </c>
    </row>
    <row r="9" spans="1:4" ht="20.25" customHeight="1">
      <c r="A9" s="247">
        <v>19</v>
      </c>
      <c r="B9" s="895">
        <v>14285</v>
      </c>
      <c r="C9" s="896">
        <v>15608</v>
      </c>
    </row>
    <row r="10" spans="1:4" ht="20.25" customHeight="1">
      <c r="A10" s="247">
        <v>20</v>
      </c>
      <c r="B10" s="895">
        <v>13848</v>
      </c>
      <c r="C10" s="896">
        <v>14840</v>
      </c>
    </row>
    <row r="11" spans="1:4" ht="20.25" customHeight="1">
      <c r="A11" s="247">
        <v>21</v>
      </c>
      <c r="B11" s="895">
        <v>14090</v>
      </c>
      <c r="C11" s="896">
        <v>15071</v>
      </c>
    </row>
    <row r="12" spans="1:4" ht="20.25" customHeight="1">
      <c r="A12" s="247">
        <v>22</v>
      </c>
      <c r="B12" s="895">
        <v>13018.29</v>
      </c>
      <c r="C12" s="896">
        <v>13809.46</v>
      </c>
    </row>
    <row r="13" spans="1:4" ht="20.25" customHeight="1">
      <c r="A13" s="247">
        <v>23</v>
      </c>
      <c r="B13" s="895">
        <v>12123.34</v>
      </c>
      <c r="C13" s="896">
        <v>13401.6</v>
      </c>
    </row>
    <row r="14" spans="1:4" ht="20.25" customHeight="1">
      <c r="A14" s="247">
        <v>24</v>
      </c>
      <c r="B14" s="895">
        <v>11449.97</v>
      </c>
      <c r="C14" s="896">
        <v>12149.130000000003</v>
      </c>
    </row>
    <row r="15" spans="1:4" ht="20.25" customHeight="1">
      <c r="A15" s="247">
        <v>25</v>
      </c>
      <c r="B15" s="897">
        <v>10372.5</v>
      </c>
      <c r="C15" s="898">
        <v>11403.55</v>
      </c>
      <c r="D15" s="770"/>
    </row>
    <row r="16" spans="1:4" ht="20.25" customHeight="1">
      <c r="A16" s="247">
        <v>26</v>
      </c>
      <c r="B16" s="897">
        <v>9884.3799999999992</v>
      </c>
      <c r="C16" s="898">
        <v>11184.5</v>
      </c>
      <c r="D16" s="770"/>
    </row>
    <row r="17" spans="1:4" ht="20.25" customHeight="1">
      <c r="A17" s="247">
        <v>27</v>
      </c>
      <c r="B17" s="897">
        <v>9532</v>
      </c>
      <c r="C17" s="898">
        <v>10353</v>
      </c>
      <c r="D17" s="770"/>
    </row>
    <row r="18" spans="1:4" ht="20.25" customHeight="1">
      <c r="A18" s="247">
        <v>28</v>
      </c>
      <c r="B18" s="897">
        <v>9398</v>
      </c>
      <c r="C18" s="898">
        <v>10747</v>
      </c>
      <c r="D18" s="770"/>
    </row>
    <row r="19" spans="1:4" ht="20.25" customHeight="1">
      <c r="A19" s="247">
        <v>29</v>
      </c>
      <c r="B19" s="897">
        <v>8949</v>
      </c>
      <c r="C19" s="898">
        <v>10504</v>
      </c>
      <c r="D19" s="770"/>
    </row>
    <row r="20" spans="1:4" ht="20.25" customHeight="1">
      <c r="A20" s="247">
        <v>30</v>
      </c>
      <c r="B20" s="897">
        <v>9031</v>
      </c>
      <c r="C20" s="898">
        <v>10324</v>
      </c>
      <c r="D20" s="770"/>
    </row>
    <row r="21" spans="1:4" ht="20.25" customHeight="1">
      <c r="A21" s="247">
        <v>31</v>
      </c>
      <c r="B21" s="897">
        <v>9053</v>
      </c>
      <c r="C21" s="898">
        <v>10082</v>
      </c>
      <c r="D21" s="770"/>
    </row>
    <row r="22" spans="1:4" ht="20.25" customHeight="1">
      <c r="A22" s="247" t="s">
        <v>1502</v>
      </c>
      <c r="B22" s="897">
        <v>8379</v>
      </c>
      <c r="C22" s="898">
        <v>9018</v>
      </c>
      <c r="D22" s="770"/>
    </row>
    <row r="23" spans="1:4" ht="20.25" customHeight="1">
      <c r="A23" s="247">
        <v>3</v>
      </c>
      <c r="B23" s="897">
        <v>7876</v>
      </c>
      <c r="C23" s="898">
        <v>8671</v>
      </c>
      <c r="D23" s="770"/>
    </row>
    <row r="24" spans="1:4" ht="20.25" customHeight="1">
      <c r="A24" s="247">
        <v>4</v>
      </c>
      <c r="B24" s="897">
        <v>8290</v>
      </c>
      <c r="C24" s="898">
        <v>9132</v>
      </c>
      <c r="D24" s="770"/>
    </row>
    <row r="25" spans="1:4" ht="20.25" customHeight="1">
      <c r="A25" s="540">
        <v>5</v>
      </c>
      <c r="B25" s="897">
        <v>8151</v>
      </c>
      <c r="C25" s="898">
        <v>9312</v>
      </c>
      <c r="D25" s="770"/>
    </row>
    <row r="26" spans="1:4" ht="20.25" customHeight="1" thickBot="1">
      <c r="A26" s="220"/>
      <c r="B26" s="899"/>
      <c r="C26" s="900"/>
      <c r="D26" s="770"/>
    </row>
    <row r="27" spans="1:4" ht="20.25" customHeight="1">
      <c r="A27" s="11" t="s">
        <v>1737</v>
      </c>
      <c r="B27" s="11" t="s">
        <v>1738</v>
      </c>
    </row>
    <row r="28" spans="1:4" ht="20.25" customHeight="1"/>
    <row r="29" spans="1:4" ht="20.25" customHeight="1"/>
  </sheetData>
  <mergeCells count="2">
    <mergeCell ref="A2:A3"/>
    <mergeCell ref="B2:C2"/>
  </mergeCells>
  <phoneticPr fontId="4"/>
  <pageMargins left="0.78740157480314965" right="0.78740157480314965" top="0.98425196850393704" bottom="0.98425196850393704" header="0.51181102362204722" footer="0.51181102362204722"/>
  <pageSetup paperSize="9" orientation="portrait"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A77DF-66CA-4056-AF76-F52E6E7AE3D7}">
  <sheetPr codeName="Sheet66"/>
  <dimension ref="A1:C28"/>
  <sheetViews>
    <sheetView workbookViewId="0">
      <pane ySplit="3" topLeftCell="A4" activePane="bottomLeft" state="frozen"/>
      <selection pane="bottomLeft"/>
    </sheetView>
  </sheetViews>
  <sheetFormatPr defaultColWidth="9" defaultRowHeight="13.2"/>
  <cols>
    <col min="1" max="3" width="22" style="2" customWidth="1"/>
    <col min="4" max="16384" width="9" style="2"/>
  </cols>
  <sheetData>
    <row r="1" spans="1:3" ht="30" customHeight="1" thickBot="1">
      <c r="A1" s="259" t="s">
        <v>1739</v>
      </c>
      <c r="B1" s="259"/>
      <c r="C1" s="259"/>
    </row>
    <row r="2" spans="1:3" s="11" customFormat="1" ht="21.75" customHeight="1">
      <c r="A2" s="249" t="s">
        <v>1498</v>
      </c>
      <c r="B2" s="447" t="s">
        <v>1740</v>
      </c>
      <c r="C2" s="248" t="s">
        <v>1741</v>
      </c>
    </row>
    <row r="3" spans="1:3" s="11" customFormat="1" ht="13.2" customHeight="1">
      <c r="A3" s="513"/>
      <c r="B3" s="86" t="s">
        <v>1742</v>
      </c>
      <c r="C3" s="38" t="s">
        <v>1742</v>
      </c>
    </row>
    <row r="4" spans="1:3" s="11" customFormat="1" ht="21.75" customHeight="1">
      <c r="A4" s="253" t="s">
        <v>1069</v>
      </c>
      <c r="B4" s="682">
        <v>2386</v>
      </c>
      <c r="C4" s="684">
        <v>2286</v>
      </c>
    </row>
    <row r="5" spans="1:3" s="11" customFormat="1" ht="21.75" customHeight="1">
      <c r="A5" s="253">
        <v>16</v>
      </c>
      <c r="B5" s="682">
        <v>2312</v>
      </c>
      <c r="C5" s="684">
        <v>2257</v>
      </c>
    </row>
    <row r="6" spans="1:3" s="11" customFormat="1" ht="21.75" customHeight="1">
      <c r="A6" s="253">
        <v>17</v>
      </c>
      <c r="B6" s="682">
        <v>2254</v>
      </c>
      <c r="C6" s="684">
        <v>2215</v>
      </c>
    </row>
    <row r="7" spans="1:3" s="11" customFormat="1" ht="21.75" customHeight="1">
      <c r="A7" s="253">
        <v>18</v>
      </c>
      <c r="B7" s="682">
        <v>2204</v>
      </c>
      <c r="C7" s="684">
        <v>2165</v>
      </c>
    </row>
    <row r="8" spans="1:3" s="11" customFormat="1" ht="21.75" customHeight="1">
      <c r="A8" s="253">
        <v>19</v>
      </c>
      <c r="B8" s="682">
        <v>2175</v>
      </c>
      <c r="C8" s="684">
        <v>2165</v>
      </c>
    </row>
    <row r="9" spans="1:3" s="11" customFormat="1" ht="21.75" customHeight="1">
      <c r="A9" s="253">
        <v>20</v>
      </c>
      <c r="B9" s="682">
        <v>2157</v>
      </c>
      <c r="C9" s="684">
        <v>2087</v>
      </c>
    </row>
    <row r="10" spans="1:3" s="11" customFormat="1" ht="21.75" customHeight="1">
      <c r="A10" s="253">
        <v>21</v>
      </c>
      <c r="B10" s="682">
        <v>2129</v>
      </c>
      <c r="C10" s="684">
        <v>2075</v>
      </c>
    </row>
    <row r="11" spans="1:3" s="11" customFormat="1" ht="21.75" customHeight="1">
      <c r="A11" s="253">
        <v>22</v>
      </c>
      <c r="B11" s="682">
        <v>2105</v>
      </c>
      <c r="C11" s="684">
        <v>2032</v>
      </c>
    </row>
    <row r="12" spans="1:3" s="11" customFormat="1" ht="21.75" customHeight="1">
      <c r="A12" s="253">
        <v>23</v>
      </c>
      <c r="B12" s="682">
        <v>2051</v>
      </c>
      <c r="C12" s="684">
        <v>1954</v>
      </c>
    </row>
    <row r="13" spans="1:3" s="11" customFormat="1" ht="21.75" customHeight="1">
      <c r="A13" s="253">
        <v>24</v>
      </c>
      <c r="B13" s="682">
        <v>1981</v>
      </c>
      <c r="C13" s="684">
        <v>1855</v>
      </c>
    </row>
    <row r="14" spans="1:3" s="11" customFormat="1" ht="21.75" customHeight="1">
      <c r="A14" s="253">
        <v>25</v>
      </c>
      <c r="B14" s="682">
        <v>1906</v>
      </c>
      <c r="C14" s="684">
        <v>1745</v>
      </c>
    </row>
    <row r="15" spans="1:3" s="11" customFormat="1" ht="21.75" customHeight="1">
      <c r="A15" s="253">
        <v>26</v>
      </c>
      <c r="B15" s="682">
        <v>1816</v>
      </c>
      <c r="C15" s="684">
        <v>1656</v>
      </c>
    </row>
    <row r="16" spans="1:3" s="11" customFormat="1" ht="21.75" customHeight="1">
      <c r="A16" s="253">
        <v>27</v>
      </c>
      <c r="B16" s="682">
        <v>1758</v>
      </c>
      <c r="C16" s="684">
        <v>1602</v>
      </c>
    </row>
    <row r="17" spans="1:3" s="11" customFormat="1" ht="21.75" customHeight="1">
      <c r="A17" s="253">
        <v>28</v>
      </c>
      <c r="B17" s="682">
        <v>1705</v>
      </c>
      <c r="C17" s="684">
        <v>1519</v>
      </c>
    </row>
    <row r="18" spans="1:3" s="11" customFormat="1" ht="21.75" customHeight="1">
      <c r="A18" s="253">
        <v>29</v>
      </c>
      <c r="B18" s="682">
        <v>1506</v>
      </c>
      <c r="C18" s="684">
        <v>1410</v>
      </c>
    </row>
    <row r="19" spans="1:3" s="11" customFormat="1" ht="21.75" customHeight="1">
      <c r="A19" s="253">
        <v>30</v>
      </c>
      <c r="B19" s="682">
        <v>1421</v>
      </c>
      <c r="C19" s="684">
        <v>1297</v>
      </c>
    </row>
    <row r="20" spans="1:3" s="11" customFormat="1" ht="21.75" customHeight="1">
      <c r="A20" s="253" t="s">
        <v>1638</v>
      </c>
      <c r="B20" s="682">
        <v>1341</v>
      </c>
      <c r="C20" s="684">
        <v>1230</v>
      </c>
    </row>
    <row r="21" spans="1:3" s="11" customFormat="1" ht="21.75" customHeight="1">
      <c r="A21" s="253" t="s">
        <v>1502</v>
      </c>
      <c r="B21" s="682">
        <v>1277</v>
      </c>
      <c r="C21" s="684">
        <v>1167</v>
      </c>
    </row>
    <row r="22" spans="1:3" s="11" customFormat="1" ht="21.75" customHeight="1">
      <c r="A22" s="253">
        <v>3</v>
      </c>
      <c r="B22" s="682">
        <v>1308</v>
      </c>
      <c r="C22" s="684">
        <v>1198</v>
      </c>
    </row>
    <row r="23" spans="1:3" s="11" customFormat="1" ht="21.75" customHeight="1">
      <c r="A23" s="253">
        <v>4</v>
      </c>
      <c r="B23" s="682">
        <v>1240</v>
      </c>
      <c r="C23" s="684">
        <v>1121</v>
      </c>
    </row>
    <row r="24" spans="1:3" s="11" customFormat="1" ht="21.75" customHeight="1">
      <c r="A24" s="545">
        <v>5</v>
      </c>
      <c r="B24" s="682">
        <v>1279</v>
      </c>
      <c r="C24" s="684">
        <v>1182</v>
      </c>
    </row>
    <row r="25" spans="1:3" s="11" customFormat="1" ht="21.75" customHeight="1" thickBot="1">
      <c r="A25" s="92"/>
      <c r="B25" s="852"/>
      <c r="C25" s="901"/>
    </row>
    <row r="26" spans="1:3" s="11" customFormat="1" ht="21.75" customHeight="1">
      <c r="A26" s="11" t="s">
        <v>1737</v>
      </c>
    </row>
    <row r="27" spans="1:3" s="11" customFormat="1" ht="21.75" customHeight="1"/>
    <row r="28" spans="1:3" s="11" customFormat="1" ht="10.8"/>
  </sheetData>
  <phoneticPr fontId="4"/>
  <pageMargins left="0.78740157480314965" right="0.78740157480314965" top="0.98425196850393704" bottom="0.98425196850393704" header="0.51181102362204722" footer="0.51181102362204722"/>
  <pageSetup paperSize="9" orientation="portrait"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A2DA-06C9-455F-AF0C-C64A02093193}">
  <sheetPr codeName="Sheet67">
    <pageSetUpPr fitToPage="1"/>
  </sheetPr>
  <dimension ref="A1:O27"/>
  <sheetViews>
    <sheetView workbookViewId="0"/>
  </sheetViews>
  <sheetFormatPr defaultColWidth="9" defaultRowHeight="13.2"/>
  <cols>
    <col min="1" max="1" width="8.5" style="2" customWidth="1"/>
    <col min="2" max="2" width="5.5" style="2" customWidth="1"/>
    <col min="3" max="15" width="5.59765625" style="2" customWidth="1"/>
    <col min="16" max="16384" width="9" style="2"/>
  </cols>
  <sheetData>
    <row r="1" spans="1:15" ht="30" customHeight="1" thickBot="1">
      <c r="A1" s="259" t="s">
        <v>1743</v>
      </c>
      <c r="B1" s="259"/>
      <c r="C1" s="259"/>
      <c r="D1" s="259"/>
      <c r="E1" s="259"/>
      <c r="F1" s="259"/>
      <c r="G1" s="259"/>
      <c r="H1" s="259"/>
      <c r="I1" s="259"/>
      <c r="J1" s="259"/>
      <c r="K1" s="259"/>
      <c r="L1" s="259"/>
      <c r="M1" s="259"/>
      <c r="N1" s="259"/>
      <c r="O1" s="259"/>
    </row>
    <row r="2" spans="1:15" s="11" customFormat="1" ht="60" customHeight="1">
      <c r="A2" s="251" t="s">
        <v>1498</v>
      </c>
      <c r="B2" s="902" t="s">
        <v>175</v>
      </c>
      <c r="C2" s="902" t="s">
        <v>1744</v>
      </c>
      <c r="D2" s="902" t="s">
        <v>1745</v>
      </c>
      <c r="E2" s="902" t="s">
        <v>1746</v>
      </c>
      <c r="F2" s="902" t="s">
        <v>1747</v>
      </c>
      <c r="G2" s="902" t="s">
        <v>1748</v>
      </c>
      <c r="H2" s="902" t="s">
        <v>1749</v>
      </c>
      <c r="I2" s="902" t="s">
        <v>1750</v>
      </c>
      <c r="J2" s="902" t="s">
        <v>1751</v>
      </c>
      <c r="K2" s="902" t="s">
        <v>1752</v>
      </c>
      <c r="L2" s="903" t="s">
        <v>1753</v>
      </c>
      <c r="M2" s="903" t="s">
        <v>1754</v>
      </c>
      <c r="N2" s="902" t="s">
        <v>1755</v>
      </c>
      <c r="O2" s="904" t="s">
        <v>33</v>
      </c>
    </row>
    <row r="3" spans="1:15" s="11" customFormat="1" ht="21.75" customHeight="1">
      <c r="A3" s="243"/>
      <c r="B3" s="905" t="s">
        <v>230</v>
      </c>
      <c r="C3" s="905" t="s">
        <v>230</v>
      </c>
      <c r="D3" s="905" t="s">
        <v>230</v>
      </c>
      <c r="E3" s="905" t="s">
        <v>230</v>
      </c>
      <c r="F3" s="905" t="s">
        <v>230</v>
      </c>
      <c r="G3" s="905" t="s">
        <v>230</v>
      </c>
      <c r="H3" s="905" t="s">
        <v>230</v>
      </c>
      <c r="I3" s="905" t="s">
        <v>230</v>
      </c>
      <c r="J3" s="905" t="s">
        <v>230</v>
      </c>
      <c r="K3" s="905" t="s">
        <v>230</v>
      </c>
      <c r="L3" s="905" t="s">
        <v>230</v>
      </c>
      <c r="M3" s="905" t="s">
        <v>230</v>
      </c>
      <c r="N3" s="905" t="s">
        <v>230</v>
      </c>
      <c r="O3" s="906" t="s">
        <v>230</v>
      </c>
    </row>
    <row r="4" spans="1:15" s="11" customFormat="1" ht="21.75" customHeight="1">
      <c r="A4" s="253" t="s">
        <v>1069</v>
      </c>
      <c r="B4" s="907">
        <v>15</v>
      </c>
      <c r="C4" s="907">
        <v>1</v>
      </c>
      <c r="D4" s="907">
        <v>2</v>
      </c>
      <c r="E4" s="907" t="s">
        <v>305</v>
      </c>
      <c r="F4" s="907">
        <v>2</v>
      </c>
      <c r="G4" s="907">
        <v>8</v>
      </c>
      <c r="H4" s="907" t="s">
        <v>305</v>
      </c>
      <c r="I4" s="907" t="s">
        <v>305</v>
      </c>
      <c r="J4" s="907" t="s">
        <v>305</v>
      </c>
      <c r="K4" s="907">
        <v>2</v>
      </c>
      <c r="L4" s="907" t="s">
        <v>305</v>
      </c>
      <c r="M4" s="907" t="s">
        <v>305</v>
      </c>
      <c r="N4" s="907" t="s">
        <v>305</v>
      </c>
      <c r="O4" s="908" t="s">
        <v>305</v>
      </c>
    </row>
    <row r="5" spans="1:15" s="11" customFormat="1" ht="21.75" customHeight="1">
      <c r="A5" s="253">
        <v>16</v>
      </c>
      <c r="B5" s="907">
        <v>17</v>
      </c>
      <c r="C5" s="907">
        <v>4</v>
      </c>
      <c r="D5" s="907">
        <v>1</v>
      </c>
      <c r="E5" s="907" t="s">
        <v>305</v>
      </c>
      <c r="F5" s="907">
        <v>4</v>
      </c>
      <c r="G5" s="907">
        <v>5</v>
      </c>
      <c r="H5" s="907" t="s">
        <v>305</v>
      </c>
      <c r="I5" s="907" t="s">
        <v>305</v>
      </c>
      <c r="J5" s="907" t="s">
        <v>305</v>
      </c>
      <c r="K5" s="907">
        <v>1</v>
      </c>
      <c r="L5" s="907" t="s">
        <v>305</v>
      </c>
      <c r="M5" s="907" t="s">
        <v>305</v>
      </c>
      <c r="N5" s="907">
        <v>1</v>
      </c>
      <c r="O5" s="908">
        <v>1</v>
      </c>
    </row>
    <row r="6" spans="1:15" s="11" customFormat="1" ht="21.75" customHeight="1">
      <c r="A6" s="253">
        <v>17</v>
      </c>
      <c r="B6" s="907">
        <v>19</v>
      </c>
      <c r="C6" s="907">
        <v>1</v>
      </c>
      <c r="D6" s="907">
        <v>5</v>
      </c>
      <c r="E6" s="907" t="s">
        <v>305</v>
      </c>
      <c r="F6" s="907">
        <v>9</v>
      </c>
      <c r="G6" s="907">
        <v>3</v>
      </c>
      <c r="H6" s="907" t="s">
        <v>305</v>
      </c>
      <c r="I6" s="907" t="s">
        <v>305</v>
      </c>
      <c r="J6" s="907" t="s">
        <v>305</v>
      </c>
      <c r="K6" s="907" t="s">
        <v>305</v>
      </c>
      <c r="L6" s="907" t="s">
        <v>305</v>
      </c>
      <c r="M6" s="907" t="s">
        <v>305</v>
      </c>
      <c r="N6" s="907">
        <v>1</v>
      </c>
      <c r="O6" s="908" t="s">
        <v>305</v>
      </c>
    </row>
    <row r="7" spans="1:15" s="11" customFormat="1" ht="21.75" customHeight="1">
      <c r="A7" s="253">
        <v>18</v>
      </c>
      <c r="B7" s="907">
        <v>20</v>
      </c>
      <c r="C7" s="907">
        <v>4</v>
      </c>
      <c r="D7" s="907">
        <v>7</v>
      </c>
      <c r="E7" s="907" t="s">
        <v>305</v>
      </c>
      <c r="F7" s="907">
        <v>5</v>
      </c>
      <c r="G7" s="907">
        <v>3</v>
      </c>
      <c r="H7" s="907" t="s">
        <v>305</v>
      </c>
      <c r="I7" s="907" t="s">
        <v>305</v>
      </c>
      <c r="J7" s="907" t="s">
        <v>305</v>
      </c>
      <c r="K7" s="907" t="s">
        <v>305</v>
      </c>
      <c r="L7" s="907" t="s">
        <v>305</v>
      </c>
      <c r="M7" s="907" t="s">
        <v>305</v>
      </c>
      <c r="N7" s="907" t="s">
        <v>305</v>
      </c>
      <c r="O7" s="908">
        <v>1</v>
      </c>
    </row>
    <row r="8" spans="1:15" s="11" customFormat="1" ht="21.75" customHeight="1">
      <c r="A8" s="253">
        <v>19</v>
      </c>
      <c r="B8" s="907">
        <v>21</v>
      </c>
      <c r="C8" s="907">
        <v>2</v>
      </c>
      <c r="D8" s="907">
        <v>2</v>
      </c>
      <c r="E8" s="907" t="s">
        <v>305</v>
      </c>
      <c r="F8" s="907">
        <v>3</v>
      </c>
      <c r="G8" s="907">
        <v>5</v>
      </c>
      <c r="H8" s="907" t="s">
        <v>305</v>
      </c>
      <c r="I8" s="907" t="s">
        <v>305</v>
      </c>
      <c r="J8" s="907" t="s">
        <v>305</v>
      </c>
      <c r="K8" s="907">
        <v>2</v>
      </c>
      <c r="L8" s="907" t="s">
        <v>305</v>
      </c>
      <c r="M8" s="907" t="s">
        <v>305</v>
      </c>
      <c r="N8" s="907" t="s">
        <v>305</v>
      </c>
      <c r="O8" s="908" t="s">
        <v>305</v>
      </c>
    </row>
    <row r="9" spans="1:15" s="11" customFormat="1" ht="21.75" customHeight="1">
      <c r="A9" s="253">
        <v>20</v>
      </c>
      <c r="B9" s="907">
        <v>11</v>
      </c>
      <c r="C9" s="907" t="s">
        <v>305</v>
      </c>
      <c r="D9" s="907">
        <v>5</v>
      </c>
      <c r="E9" s="907" t="s">
        <v>305</v>
      </c>
      <c r="F9" s="907">
        <v>2</v>
      </c>
      <c r="G9" s="907">
        <v>3</v>
      </c>
      <c r="H9" s="907" t="s">
        <v>305</v>
      </c>
      <c r="I9" s="907" t="s">
        <v>305</v>
      </c>
      <c r="J9" s="907" t="s">
        <v>305</v>
      </c>
      <c r="K9" s="907" t="s">
        <v>305</v>
      </c>
      <c r="L9" s="907" t="s">
        <v>305</v>
      </c>
      <c r="M9" s="907" t="s">
        <v>305</v>
      </c>
      <c r="N9" s="907" t="s">
        <v>305</v>
      </c>
      <c r="O9" s="908">
        <v>1</v>
      </c>
    </row>
    <row r="10" spans="1:15" s="11" customFormat="1" ht="21.75" customHeight="1">
      <c r="A10" s="253">
        <v>21</v>
      </c>
      <c r="B10" s="907">
        <v>12</v>
      </c>
      <c r="C10" s="907">
        <v>2</v>
      </c>
      <c r="D10" s="907">
        <v>3</v>
      </c>
      <c r="E10" s="907" t="s">
        <v>305</v>
      </c>
      <c r="F10" s="907">
        <v>2</v>
      </c>
      <c r="G10" s="907">
        <v>5</v>
      </c>
      <c r="H10" s="907" t="s">
        <v>305</v>
      </c>
      <c r="I10" s="907" t="s">
        <v>305</v>
      </c>
      <c r="J10" s="907" t="s">
        <v>305</v>
      </c>
      <c r="K10" s="907" t="s">
        <v>305</v>
      </c>
      <c r="L10" s="907" t="s">
        <v>305</v>
      </c>
      <c r="M10" s="907" t="s">
        <v>305</v>
      </c>
      <c r="N10" s="907" t="s">
        <v>305</v>
      </c>
      <c r="O10" s="908" t="s">
        <v>305</v>
      </c>
    </row>
    <row r="11" spans="1:15" s="11" customFormat="1" ht="20.100000000000001" customHeight="1">
      <c r="A11" s="253">
        <v>22</v>
      </c>
      <c r="B11" s="907">
        <v>12</v>
      </c>
      <c r="C11" s="907">
        <v>2</v>
      </c>
      <c r="D11" s="907">
        <v>3</v>
      </c>
      <c r="E11" s="907" t="s">
        <v>305</v>
      </c>
      <c r="F11" s="907">
        <v>2</v>
      </c>
      <c r="G11" s="907">
        <v>5</v>
      </c>
      <c r="H11" s="907" t="s">
        <v>305</v>
      </c>
      <c r="I11" s="907" t="s">
        <v>305</v>
      </c>
      <c r="J11" s="907" t="s">
        <v>305</v>
      </c>
      <c r="K11" s="907" t="s">
        <v>305</v>
      </c>
      <c r="L11" s="907" t="s">
        <v>305</v>
      </c>
      <c r="M11" s="907" t="s">
        <v>305</v>
      </c>
      <c r="N11" s="907" t="s">
        <v>305</v>
      </c>
      <c r="O11" s="908" t="s">
        <v>305</v>
      </c>
    </row>
    <row r="12" spans="1:15" s="11" customFormat="1" ht="20.100000000000001" customHeight="1">
      <c r="A12" s="253">
        <v>23</v>
      </c>
      <c r="B12" s="907">
        <v>7</v>
      </c>
      <c r="C12" s="907" t="s">
        <v>305</v>
      </c>
      <c r="D12" s="907">
        <v>1</v>
      </c>
      <c r="E12" s="907" t="s">
        <v>305</v>
      </c>
      <c r="F12" s="907">
        <v>2</v>
      </c>
      <c r="G12" s="907">
        <v>3</v>
      </c>
      <c r="H12" s="907" t="s">
        <v>305</v>
      </c>
      <c r="I12" s="907" t="s">
        <v>305</v>
      </c>
      <c r="J12" s="907" t="s">
        <v>305</v>
      </c>
      <c r="K12" s="907" t="s">
        <v>305</v>
      </c>
      <c r="L12" s="907" t="s">
        <v>305</v>
      </c>
      <c r="M12" s="907" t="s">
        <v>305</v>
      </c>
      <c r="N12" s="907" t="s">
        <v>305</v>
      </c>
      <c r="O12" s="908">
        <v>1</v>
      </c>
    </row>
    <row r="13" spans="1:15" s="11" customFormat="1" ht="20.100000000000001" customHeight="1">
      <c r="A13" s="253">
        <v>24</v>
      </c>
      <c r="B13" s="907">
        <v>7</v>
      </c>
      <c r="C13" s="907">
        <v>1</v>
      </c>
      <c r="D13" s="907">
        <v>2</v>
      </c>
      <c r="E13" s="907" t="s">
        <v>305</v>
      </c>
      <c r="F13" s="907" t="s">
        <v>305</v>
      </c>
      <c r="G13" s="907">
        <v>3</v>
      </c>
      <c r="H13" s="907" t="s">
        <v>305</v>
      </c>
      <c r="I13" s="907" t="s">
        <v>305</v>
      </c>
      <c r="J13" s="907" t="s">
        <v>305</v>
      </c>
      <c r="K13" s="907" t="s">
        <v>305</v>
      </c>
      <c r="L13" s="907" t="s">
        <v>305</v>
      </c>
      <c r="M13" s="907" t="s">
        <v>305</v>
      </c>
      <c r="N13" s="907" t="s">
        <v>305</v>
      </c>
      <c r="O13" s="908">
        <v>1</v>
      </c>
    </row>
    <row r="14" spans="1:15" s="11" customFormat="1" ht="20.100000000000001" customHeight="1">
      <c r="A14" s="253">
        <v>25</v>
      </c>
      <c r="B14" s="907">
        <v>9</v>
      </c>
      <c r="C14" s="907">
        <v>2</v>
      </c>
      <c r="D14" s="907">
        <v>3</v>
      </c>
      <c r="E14" s="907" t="s">
        <v>305</v>
      </c>
      <c r="F14" s="907">
        <v>1</v>
      </c>
      <c r="G14" s="907">
        <v>2</v>
      </c>
      <c r="H14" s="907" t="s">
        <v>305</v>
      </c>
      <c r="I14" s="907" t="s">
        <v>305</v>
      </c>
      <c r="J14" s="907" t="s">
        <v>305</v>
      </c>
      <c r="K14" s="907" t="s">
        <v>305</v>
      </c>
      <c r="L14" s="907" t="s">
        <v>305</v>
      </c>
      <c r="M14" s="907" t="s">
        <v>305</v>
      </c>
      <c r="N14" s="907" t="s">
        <v>305</v>
      </c>
      <c r="O14" s="908">
        <v>1</v>
      </c>
    </row>
    <row r="15" spans="1:15" s="11" customFormat="1" ht="20.100000000000001" customHeight="1">
      <c r="A15" s="253">
        <v>26</v>
      </c>
      <c r="B15" s="907">
        <v>8</v>
      </c>
      <c r="C15" s="907">
        <v>3</v>
      </c>
      <c r="D15" s="907">
        <v>3</v>
      </c>
      <c r="E15" s="907" t="s">
        <v>431</v>
      </c>
      <c r="F15" s="907">
        <v>1</v>
      </c>
      <c r="G15" s="907" t="s">
        <v>431</v>
      </c>
      <c r="H15" s="907" t="s">
        <v>431</v>
      </c>
      <c r="I15" s="907" t="s">
        <v>431</v>
      </c>
      <c r="J15" s="907" t="s">
        <v>431</v>
      </c>
      <c r="K15" s="907" t="s">
        <v>431</v>
      </c>
      <c r="L15" s="907" t="s">
        <v>431</v>
      </c>
      <c r="M15" s="907" t="s">
        <v>431</v>
      </c>
      <c r="N15" s="907" t="s">
        <v>431</v>
      </c>
      <c r="O15" s="908">
        <v>1</v>
      </c>
    </row>
    <row r="16" spans="1:15" s="11" customFormat="1" ht="20.100000000000001" customHeight="1">
      <c r="A16" s="253">
        <v>27</v>
      </c>
      <c r="B16" s="907">
        <v>11</v>
      </c>
      <c r="C16" s="907">
        <v>1</v>
      </c>
      <c r="D16" s="907">
        <v>7</v>
      </c>
      <c r="E16" s="907" t="s">
        <v>305</v>
      </c>
      <c r="F16" s="907">
        <v>2</v>
      </c>
      <c r="G16" s="907" t="s">
        <v>431</v>
      </c>
      <c r="H16" s="907" t="s">
        <v>431</v>
      </c>
      <c r="I16" s="907" t="s">
        <v>431</v>
      </c>
      <c r="J16" s="907" t="s">
        <v>431</v>
      </c>
      <c r="K16" s="907" t="s">
        <v>431</v>
      </c>
      <c r="L16" s="907" t="s">
        <v>431</v>
      </c>
      <c r="M16" s="907" t="s">
        <v>431</v>
      </c>
      <c r="N16" s="907" t="s">
        <v>431</v>
      </c>
      <c r="O16" s="908">
        <v>1</v>
      </c>
    </row>
    <row r="17" spans="1:15" s="11" customFormat="1" ht="20.100000000000001" customHeight="1">
      <c r="A17" s="253">
        <v>28</v>
      </c>
      <c r="B17" s="907">
        <v>12</v>
      </c>
      <c r="C17" s="907">
        <v>2</v>
      </c>
      <c r="D17" s="907">
        <v>3</v>
      </c>
      <c r="E17" s="907" t="s">
        <v>431</v>
      </c>
      <c r="F17" s="907" t="s">
        <v>431</v>
      </c>
      <c r="G17" s="907">
        <v>5</v>
      </c>
      <c r="H17" s="907" t="s">
        <v>431</v>
      </c>
      <c r="I17" s="907" t="s">
        <v>431</v>
      </c>
      <c r="J17" s="907">
        <v>2</v>
      </c>
      <c r="K17" s="907" t="s">
        <v>431</v>
      </c>
      <c r="L17" s="907" t="s">
        <v>431</v>
      </c>
      <c r="M17" s="907" t="s">
        <v>431</v>
      </c>
      <c r="N17" s="907" t="s">
        <v>431</v>
      </c>
      <c r="O17" s="908" t="s">
        <v>431</v>
      </c>
    </row>
    <row r="18" spans="1:15" s="11" customFormat="1" ht="20.100000000000001" customHeight="1">
      <c r="A18" s="253">
        <v>29</v>
      </c>
      <c r="B18" s="907">
        <v>8</v>
      </c>
      <c r="C18" s="907">
        <v>1</v>
      </c>
      <c r="D18" s="907">
        <v>5</v>
      </c>
      <c r="E18" s="907" t="s">
        <v>431</v>
      </c>
      <c r="F18" s="907" t="s">
        <v>431</v>
      </c>
      <c r="G18" s="907" t="s">
        <v>431</v>
      </c>
      <c r="H18" s="907" t="s">
        <v>431</v>
      </c>
      <c r="I18" s="907" t="s">
        <v>431</v>
      </c>
      <c r="J18" s="907">
        <v>2</v>
      </c>
      <c r="K18" s="907" t="s">
        <v>431</v>
      </c>
      <c r="L18" s="907" t="s">
        <v>431</v>
      </c>
      <c r="M18" s="907" t="s">
        <v>431</v>
      </c>
      <c r="N18" s="907" t="s">
        <v>431</v>
      </c>
      <c r="O18" s="908" t="s">
        <v>431</v>
      </c>
    </row>
    <row r="19" spans="1:15" s="11" customFormat="1" ht="20.100000000000001" customHeight="1">
      <c r="A19" s="253">
        <v>30</v>
      </c>
      <c r="B19" s="907">
        <v>7</v>
      </c>
      <c r="C19" s="907" t="s">
        <v>431</v>
      </c>
      <c r="D19" s="907">
        <v>2</v>
      </c>
      <c r="E19" s="907" t="s">
        <v>431</v>
      </c>
      <c r="F19" s="907">
        <v>1</v>
      </c>
      <c r="G19" s="907" t="s">
        <v>431</v>
      </c>
      <c r="H19" s="907" t="s">
        <v>431</v>
      </c>
      <c r="I19" s="907" t="s">
        <v>431</v>
      </c>
      <c r="J19" s="907">
        <v>2</v>
      </c>
      <c r="K19" s="907" t="s">
        <v>431</v>
      </c>
      <c r="L19" s="907" t="s">
        <v>431</v>
      </c>
      <c r="M19" s="907" t="s">
        <v>431</v>
      </c>
      <c r="N19" s="907" t="s">
        <v>431</v>
      </c>
      <c r="O19" s="908">
        <v>2</v>
      </c>
    </row>
    <row r="20" spans="1:15" s="11" customFormat="1" ht="20.100000000000001" customHeight="1">
      <c r="A20" s="253" t="s">
        <v>1638</v>
      </c>
      <c r="B20" s="907">
        <v>4</v>
      </c>
      <c r="C20" s="907" t="s">
        <v>431</v>
      </c>
      <c r="D20" s="907" t="s">
        <v>431</v>
      </c>
      <c r="E20" s="907" t="s">
        <v>431</v>
      </c>
      <c r="F20" s="907">
        <v>1</v>
      </c>
      <c r="G20" s="907">
        <v>3</v>
      </c>
      <c r="H20" s="907" t="s">
        <v>431</v>
      </c>
      <c r="I20" s="907" t="s">
        <v>431</v>
      </c>
      <c r="J20" s="907" t="s">
        <v>431</v>
      </c>
      <c r="K20" s="907" t="s">
        <v>431</v>
      </c>
      <c r="L20" s="907" t="s">
        <v>431</v>
      </c>
      <c r="M20" s="907" t="s">
        <v>431</v>
      </c>
      <c r="N20" s="907" t="s">
        <v>431</v>
      </c>
      <c r="O20" s="908" t="s">
        <v>431</v>
      </c>
    </row>
    <row r="21" spans="1:15" s="11" customFormat="1" ht="20.100000000000001" customHeight="1">
      <c r="A21" s="253">
        <v>2</v>
      </c>
      <c r="B21" s="907">
        <v>3</v>
      </c>
      <c r="C21" s="907" t="s">
        <v>431</v>
      </c>
      <c r="D21" s="907" t="s">
        <v>431</v>
      </c>
      <c r="E21" s="907" t="s">
        <v>431</v>
      </c>
      <c r="F21" s="907" t="s">
        <v>431</v>
      </c>
      <c r="G21" s="907">
        <v>3</v>
      </c>
      <c r="H21" s="907" t="s">
        <v>431</v>
      </c>
      <c r="I21" s="907" t="s">
        <v>431</v>
      </c>
      <c r="J21" s="907" t="s">
        <v>431</v>
      </c>
      <c r="K21" s="907" t="s">
        <v>431</v>
      </c>
      <c r="L21" s="907" t="s">
        <v>431</v>
      </c>
      <c r="M21" s="907" t="s">
        <v>431</v>
      </c>
      <c r="N21" s="907" t="s">
        <v>431</v>
      </c>
      <c r="O21" s="908" t="s">
        <v>431</v>
      </c>
    </row>
    <row r="22" spans="1:15" s="11" customFormat="1" ht="20.100000000000001" customHeight="1">
      <c r="A22" s="253">
        <v>3</v>
      </c>
      <c r="B22" s="907">
        <v>6</v>
      </c>
      <c r="C22" s="907" t="s">
        <v>431</v>
      </c>
      <c r="D22" s="907">
        <v>2</v>
      </c>
      <c r="E22" s="907" t="s">
        <v>431</v>
      </c>
      <c r="F22" s="907">
        <v>1</v>
      </c>
      <c r="G22" s="907">
        <v>3</v>
      </c>
      <c r="H22" s="907" t="s">
        <v>431</v>
      </c>
      <c r="I22" s="907" t="s">
        <v>431</v>
      </c>
      <c r="J22" s="907" t="s">
        <v>431</v>
      </c>
      <c r="K22" s="907" t="s">
        <v>431</v>
      </c>
      <c r="L22" s="907" t="s">
        <v>431</v>
      </c>
      <c r="M22" s="907" t="s">
        <v>431</v>
      </c>
      <c r="N22" s="907" t="s">
        <v>431</v>
      </c>
      <c r="O22" s="908" t="s">
        <v>431</v>
      </c>
    </row>
    <row r="23" spans="1:15" s="11" customFormat="1" ht="20.100000000000001" customHeight="1">
      <c r="A23" s="253">
        <v>4</v>
      </c>
      <c r="B23" s="907">
        <v>9</v>
      </c>
      <c r="C23" s="907" t="s">
        <v>431</v>
      </c>
      <c r="D23" s="907">
        <v>5</v>
      </c>
      <c r="E23" s="907" t="s">
        <v>431</v>
      </c>
      <c r="F23" s="907">
        <v>1</v>
      </c>
      <c r="G23" s="907">
        <v>3</v>
      </c>
      <c r="H23" s="907" t="s">
        <v>431</v>
      </c>
      <c r="I23" s="907" t="s">
        <v>431</v>
      </c>
      <c r="J23" s="907" t="s">
        <v>431</v>
      </c>
      <c r="K23" s="907" t="s">
        <v>431</v>
      </c>
      <c r="L23" s="907" t="s">
        <v>431</v>
      </c>
      <c r="M23" s="907" t="s">
        <v>431</v>
      </c>
      <c r="N23" s="907" t="s">
        <v>431</v>
      </c>
      <c r="O23" s="908" t="s">
        <v>431</v>
      </c>
    </row>
    <row r="24" spans="1:15" s="11" customFormat="1" ht="20.100000000000001" customHeight="1">
      <c r="A24" s="545">
        <v>5</v>
      </c>
      <c r="B24" s="907">
        <v>9</v>
      </c>
      <c r="C24" s="907" t="s">
        <v>431</v>
      </c>
      <c r="D24" s="907">
        <v>3</v>
      </c>
      <c r="E24" s="907" t="s">
        <v>431</v>
      </c>
      <c r="F24" s="907">
        <v>2</v>
      </c>
      <c r="G24" s="907">
        <v>4</v>
      </c>
      <c r="H24" s="907" t="s">
        <v>431</v>
      </c>
      <c r="I24" s="907" t="s">
        <v>431</v>
      </c>
      <c r="J24" s="907" t="s">
        <v>431</v>
      </c>
      <c r="K24" s="907" t="s">
        <v>431</v>
      </c>
      <c r="L24" s="907" t="s">
        <v>431</v>
      </c>
      <c r="M24" s="907" t="s">
        <v>431</v>
      </c>
      <c r="N24" s="907" t="s">
        <v>431</v>
      </c>
      <c r="O24" s="908" t="s">
        <v>431</v>
      </c>
    </row>
    <row r="25" spans="1:15" s="11" customFormat="1" ht="20.100000000000001" customHeight="1" thickBot="1">
      <c r="A25" s="92"/>
      <c r="B25" s="909"/>
      <c r="C25" s="909"/>
      <c r="D25" s="909"/>
      <c r="E25" s="909"/>
      <c r="F25" s="909"/>
      <c r="G25" s="909"/>
      <c r="H25" s="909"/>
      <c r="I25" s="909"/>
      <c r="J25" s="909"/>
      <c r="K25" s="909"/>
      <c r="L25" s="909"/>
      <c r="M25" s="909"/>
      <c r="N25" s="909"/>
      <c r="O25" s="910"/>
    </row>
    <row r="26" spans="1:15" ht="18" customHeight="1">
      <c r="A26" s="11" t="s">
        <v>1737</v>
      </c>
      <c r="D26" s="11" t="s">
        <v>1756</v>
      </c>
    </row>
    <row r="27" spans="1:15">
      <c r="A27" s="11"/>
    </row>
  </sheetData>
  <phoneticPr fontId="4"/>
  <pageMargins left="0.78700000000000003" right="0.62" top="0.98399999999999999" bottom="0.98399999999999999" header="0.51200000000000001" footer="0.51200000000000001"/>
  <pageSetup paperSize="9" scale="92" orientation="portrait"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63086-212C-4B6B-A166-4FB468939C39}">
  <sheetPr codeName="Sheet122"/>
  <dimension ref="A1:F29"/>
  <sheetViews>
    <sheetView workbookViewId="0"/>
  </sheetViews>
  <sheetFormatPr defaultColWidth="8.09765625" defaultRowHeight="10.8"/>
  <cols>
    <col min="1" max="1" width="13.796875" style="1236" customWidth="1"/>
    <col min="2" max="6" width="12.296875" style="1236" customWidth="1"/>
    <col min="7" max="16384" width="8.09765625" style="1236"/>
  </cols>
  <sheetData>
    <row r="1" spans="1:6" ht="30" customHeight="1" thickBot="1">
      <c r="A1" s="1481" t="s">
        <v>3010</v>
      </c>
    </row>
    <row r="2" spans="1:6" ht="13.8" customHeight="1">
      <c r="A2" s="2522" t="s">
        <v>3011</v>
      </c>
      <c r="B2" s="2522"/>
      <c r="C2" s="2389" t="s">
        <v>3012</v>
      </c>
      <c r="D2" s="2389"/>
      <c r="E2" s="2600" t="s">
        <v>3013</v>
      </c>
      <c r="F2" s="2600" t="s">
        <v>3014</v>
      </c>
    </row>
    <row r="3" spans="1:6" ht="13.8" customHeight="1">
      <c r="A3" s="2471"/>
      <c r="B3" s="2471"/>
      <c r="C3" s="1687" t="s">
        <v>3015</v>
      </c>
      <c r="D3" s="1687" t="s">
        <v>3016</v>
      </c>
      <c r="E3" s="2446"/>
      <c r="F3" s="2446"/>
    </row>
    <row r="4" spans="1:6" ht="16.2" customHeight="1">
      <c r="A4" s="2668" t="s">
        <v>1638</v>
      </c>
      <c r="B4" s="1688" t="s">
        <v>3017</v>
      </c>
      <c r="C4" s="1689">
        <v>536</v>
      </c>
      <c r="D4" s="1690">
        <v>1</v>
      </c>
      <c r="E4" s="1690">
        <v>3</v>
      </c>
      <c r="F4" s="1691">
        <v>348</v>
      </c>
    </row>
    <row r="5" spans="1:6" ht="16.2" customHeight="1">
      <c r="A5" s="2605"/>
      <c r="B5" s="1501" t="s">
        <v>3018</v>
      </c>
      <c r="C5" s="1692">
        <v>381</v>
      </c>
      <c r="D5" s="1693" t="s">
        <v>2921</v>
      </c>
      <c r="E5" s="1693">
        <v>2</v>
      </c>
      <c r="F5" s="1694">
        <v>169</v>
      </c>
    </row>
    <row r="6" spans="1:6" ht="16.2" customHeight="1">
      <c r="A6" s="2605"/>
      <c r="B6" s="1501" t="s">
        <v>3019</v>
      </c>
      <c r="C6" s="1692">
        <v>135</v>
      </c>
      <c r="D6" s="1693">
        <v>1</v>
      </c>
      <c r="E6" s="1693">
        <v>1</v>
      </c>
      <c r="F6" s="1694">
        <v>164</v>
      </c>
    </row>
    <row r="7" spans="1:6" ht="16.2" customHeight="1">
      <c r="A7" s="2606"/>
      <c r="B7" s="1695" t="s">
        <v>3020</v>
      </c>
      <c r="C7" s="1687">
        <v>20</v>
      </c>
      <c r="D7" s="1696" t="s">
        <v>2921</v>
      </c>
      <c r="E7" s="1696" t="s">
        <v>2921</v>
      </c>
      <c r="F7" s="1697">
        <v>15</v>
      </c>
    </row>
    <row r="8" spans="1:6" ht="16.2" customHeight="1">
      <c r="A8" s="2668" t="s">
        <v>2940</v>
      </c>
      <c r="B8" s="1688" t="s">
        <v>3017</v>
      </c>
      <c r="C8" s="1689">
        <v>559</v>
      </c>
      <c r="D8" s="1690" t="s">
        <v>2921</v>
      </c>
      <c r="E8" s="1690">
        <v>1</v>
      </c>
      <c r="F8" s="1691">
        <v>357</v>
      </c>
    </row>
    <row r="9" spans="1:6" ht="16.2" customHeight="1">
      <c r="A9" s="2605"/>
      <c r="B9" s="1501" t="s">
        <v>3018</v>
      </c>
      <c r="C9" s="1692">
        <v>377</v>
      </c>
      <c r="D9" s="1693" t="s">
        <v>2921</v>
      </c>
      <c r="E9" s="1693">
        <v>1</v>
      </c>
      <c r="F9" s="1694">
        <v>176</v>
      </c>
    </row>
    <row r="10" spans="1:6" ht="16.2" customHeight="1">
      <c r="A10" s="2605"/>
      <c r="B10" s="1501" t="s">
        <v>3019</v>
      </c>
      <c r="C10" s="1692">
        <v>158</v>
      </c>
      <c r="D10" s="1693" t="s">
        <v>2921</v>
      </c>
      <c r="E10" s="1693" t="s">
        <v>2921</v>
      </c>
      <c r="F10" s="1694">
        <v>166</v>
      </c>
    </row>
    <row r="11" spans="1:6" ht="16.2" customHeight="1">
      <c r="A11" s="2606"/>
      <c r="B11" s="1695" t="s">
        <v>3020</v>
      </c>
      <c r="C11" s="1687">
        <v>24</v>
      </c>
      <c r="D11" s="1696" t="s">
        <v>2921</v>
      </c>
      <c r="E11" s="1696" t="s">
        <v>2921</v>
      </c>
      <c r="F11" s="1697">
        <v>15</v>
      </c>
    </row>
    <row r="12" spans="1:6" ht="16.2" customHeight="1">
      <c r="A12" s="2668" t="s">
        <v>3021</v>
      </c>
      <c r="B12" s="1688" t="s">
        <v>3017</v>
      </c>
      <c r="C12" s="1689">
        <v>556</v>
      </c>
      <c r="D12" s="1690">
        <v>2</v>
      </c>
      <c r="E12" s="1690">
        <v>1</v>
      </c>
      <c r="F12" s="1691">
        <v>351</v>
      </c>
    </row>
    <row r="13" spans="1:6" ht="16.2" customHeight="1">
      <c r="A13" s="2605"/>
      <c r="B13" s="1501" t="s">
        <v>3018</v>
      </c>
      <c r="C13" s="1692">
        <v>380</v>
      </c>
      <c r="D13" s="1693">
        <v>1</v>
      </c>
      <c r="E13" s="1693">
        <v>1</v>
      </c>
      <c r="F13" s="1694">
        <v>154</v>
      </c>
    </row>
    <row r="14" spans="1:6" ht="16.2" customHeight="1">
      <c r="A14" s="2605"/>
      <c r="B14" s="1501" t="s">
        <v>3019</v>
      </c>
      <c r="C14" s="1692">
        <v>147</v>
      </c>
      <c r="D14" s="1693">
        <v>1</v>
      </c>
      <c r="E14" s="1693" t="s">
        <v>345</v>
      </c>
      <c r="F14" s="1694">
        <v>184</v>
      </c>
    </row>
    <row r="15" spans="1:6" ht="16.2" customHeight="1">
      <c r="A15" s="2606"/>
      <c r="B15" s="1695" t="s">
        <v>3020</v>
      </c>
      <c r="C15" s="1687">
        <v>29</v>
      </c>
      <c r="D15" s="1696" t="s">
        <v>345</v>
      </c>
      <c r="E15" s="1696" t="s">
        <v>345</v>
      </c>
      <c r="F15" s="1697">
        <v>13</v>
      </c>
    </row>
    <row r="16" spans="1:6" ht="16.2" customHeight="1">
      <c r="A16" s="2668" t="s">
        <v>3022</v>
      </c>
      <c r="B16" s="1688" t="s">
        <v>3017</v>
      </c>
      <c r="C16" s="1689">
        <v>648</v>
      </c>
      <c r="D16" s="1690" t="s">
        <v>345</v>
      </c>
      <c r="E16" s="1690">
        <v>6</v>
      </c>
      <c r="F16" s="1691">
        <v>262</v>
      </c>
    </row>
    <row r="17" spans="1:6" ht="16.2" customHeight="1">
      <c r="A17" s="2605"/>
      <c r="B17" s="1501" t="s">
        <v>3018</v>
      </c>
      <c r="C17" s="1692">
        <v>430</v>
      </c>
      <c r="D17" s="1693" t="s">
        <v>345</v>
      </c>
      <c r="E17" s="1693">
        <v>5</v>
      </c>
      <c r="F17" s="1694">
        <v>109</v>
      </c>
    </row>
    <row r="18" spans="1:6" ht="16.2" customHeight="1">
      <c r="A18" s="2605"/>
      <c r="B18" s="1501" t="s">
        <v>3019</v>
      </c>
      <c r="C18" s="1692">
        <v>184</v>
      </c>
      <c r="D18" s="1693" t="s">
        <v>345</v>
      </c>
      <c r="E18" s="1693">
        <v>1</v>
      </c>
      <c r="F18" s="1694">
        <v>143</v>
      </c>
    </row>
    <row r="19" spans="1:6" ht="16.2" customHeight="1">
      <c r="A19" s="2606"/>
      <c r="B19" s="1695" t="s">
        <v>3020</v>
      </c>
      <c r="C19" s="1687">
        <v>34</v>
      </c>
      <c r="D19" s="1696" t="s">
        <v>345</v>
      </c>
      <c r="E19" s="1696" t="s">
        <v>345</v>
      </c>
      <c r="F19" s="1697">
        <v>10</v>
      </c>
    </row>
    <row r="20" spans="1:6" ht="16.2" customHeight="1">
      <c r="A20" s="2605" t="s">
        <v>2580</v>
      </c>
      <c r="B20" s="1501" t="s">
        <v>3017</v>
      </c>
      <c r="C20" s="1692">
        <v>593</v>
      </c>
      <c r="D20" s="1693" t="s">
        <v>345</v>
      </c>
      <c r="E20" s="1693">
        <v>5</v>
      </c>
      <c r="F20" s="1694">
        <v>333</v>
      </c>
    </row>
    <row r="21" spans="1:6" ht="16.2" customHeight="1">
      <c r="A21" s="2605"/>
      <c r="B21" s="1501" t="s">
        <v>3018</v>
      </c>
      <c r="C21" s="1692">
        <v>416</v>
      </c>
      <c r="D21" s="1693" t="s">
        <v>345</v>
      </c>
      <c r="E21" s="1693">
        <v>4</v>
      </c>
      <c r="F21" s="1694">
        <v>153</v>
      </c>
    </row>
    <row r="22" spans="1:6" ht="16.2" customHeight="1">
      <c r="A22" s="2605"/>
      <c r="B22" s="1501" t="s">
        <v>3019</v>
      </c>
      <c r="C22" s="1692">
        <v>150</v>
      </c>
      <c r="D22" s="1693" t="s">
        <v>345</v>
      </c>
      <c r="E22" s="1693">
        <v>1</v>
      </c>
      <c r="F22" s="1694">
        <v>167</v>
      </c>
    </row>
    <row r="23" spans="1:6" ht="16.2" customHeight="1" thickBot="1">
      <c r="A23" s="2667"/>
      <c r="B23" s="1505" t="s">
        <v>3020</v>
      </c>
      <c r="C23" s="1698">
        <v>27</v>
      </c>
      <c r="D23" s="1699" t="s">
        <v>345</v>
      </c>
      <c r="E23" s="1699" t="s">
        <v>345</v>
      </c>
      <c r="F23" s="1700">
        <v>13</v>
      </c>
    </row>
    <row r="24" spans="1:6" ht="16.8" customHeight="1">
      <c r="A24" s="1236" t="s">
        <v>3023</v>
      </c>
    </row>
    <row r="29" spans="1:6">
      <c r="C29" s="1701"/>
    </row>
  </sheetData>
  <mergeCells count="9">
    <mergeCell ref="A20:A23"/>
    <mergeCell ref="A2:B3"/>
    <mergeCell ref="C2:D2"/>
    <mergeCell ref="E2:E3"/>
    <mergeCell ref="F2:F3"/>
    <mergeCell ref="A4:A7"/>
    <mergeCell ref="A8:A11"/>
    <mergeCell ref="A12:A15"/>
    <mergeCell ref="A16:A19"/>
  </mergeCells>
  <phoneticPr fontId="4"/>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7490-C7C9-4B9D-983C-9EF18DFC2E2A}">
  <sheetPr codeName="Sheet123"/>
  <dimension ref="A1:L25"/>
  <sheetViews>
    <sheetView workbookViewId="0"/>
  </sheetViews>
  <sheetFormatPr defaultColWidth="8.09765625" defaultRowHeight="10.8"/>
  <cols>
    <col min="1" max="1" width="6.8984375" style="1236" customWidth="1"/>
    <col min="2" max="2" width="8.296875" style="1236" customWidth="1"/>
    <col min="3" max="4" width="18.59765625" style="1236" customWidth="1"/>
    <col min="5" max="5" width="2.69921875" style="1236" bestFit="1" customWidth="1"/>
    <col min="6" max="6" width="18.59765625" style="1236" customWidth="1"/>
    <col min="7" max="7" width="8.09765625" style="1236"/>
    <col min="8" max="8" width="3" style="1236" customWidth="1"/>
    <col min="9" max="9" width="9.19921875" style="1236" customWidth="1"/>
    <col min="10" max="10" width="2.69921875" style="1236" customWidth="1"/>
    <col min="11" max="11" width="9.19921875" style="1236" customWidth="1"/>
    <col min="12" max="12" width="2.69921875" style="1236" customWidth="1"/>
    <col min="13" max="16384" width="8.09765625" style="1236"/>
  </cols>
  <sheetData>
    <row r="1" spans="1:12" ht="30" customHeight="1" thickBot="1">
      <c r="A1" s="1481" t="s">
        <v>3024</v>
      </c>
      <c r="L1" s="1482" t="s">
        <v>3091</v>
      </c>
    </row>
    <row r="2" spans="1:12" ht="15.6" customHeight="1">
      <c r="A2" s="2499" t="s">
        <v>3025</v>
      </c>
      <c r="B2" s="2503" t="s">
        <v>3026</v>
      </c>
      <c r="C2" s="2503" t="s">
        <v>3027</v>
      </c>
      <c r="D2" s="2503" t="s">
        <v>3028</v>
      </c>
      <c r="E2" s="2503"/>
      <c r="F2" s="2600"/>
      <c r="G2" s="2522" t="s">
        <v>3097</v>
      </c>
      <c r="H2" s="2499"/>
      <c r="I2" s="2522" t="s">
        <v>3092</v>
      </c>
      <c r="J2" s="2522"/>
      <c r="K2" s="2522"/>
      <c r="L2" s="2522"/>
    </row>
    <row r="3" spans="1:12" ht="15.6" customHeight="1">
      <c r="A3" s="2431"/>
      <c r="B3" s="2441"/>
      <c r="C3" s="2441"/>
      <c r="D3" s="2441"/>
      <c r="E3" s="2441"/>
      <c r="F3" s="2446"/>
      <c r="G3" s="2471"/>
      <c r="H3" s="2431"/>
      <c r="I3" s="2495" t="s">
        <v>3096</v>
      </c>
      <c r="J3" s="2443"/>
      <c r="K3" s="2496" t="s">
        <v>3095</v>
      </c>
      <c r="L3" s="2496"/>
    </row>
    <row r="4" spans="1:12" ht="17.399999999999999" customHeight="1">
      <c r="A4" s="1434">
        <v>19</v>
      </c>
      <c r="B4" s="1688" t="s">
        <v>3029</v>
      </c>
      <c r="C4" s="1706" t="s">
        <v>3030</v>
      </c>
      <c r="D4" s="1707" t="s">
        <v>3031</v>
      </c>
      <c r="E4" s="1454" t="s">
        <v>3032</v>
      </c>
      <c r="F4" s="1454" t="s">
        <v>3033</v>
      </c>
      <c r="G4" s="1702">
        <v>5048</v>
      </c>
      <c r="H4" s="1703" t="s">
        <v>3093</v>
      </c>
      <c r="I4" s="1704">
        <v>5048</v>
      </c>
      <c r="J4" s="1703" t="s">
        <v>3093</v>
      </c>
      <c r="K4" s="1705" t="s">
        <v>3094</v>
      </c>
      <c r="L4" s="1708" t="s">
        <v>3093</v>
      </c>
    </row>
    <row r="5" spans="1:12" ht="17.399999999999999" customHeight="1">
      <c r="A5" s="1434">
        <v>147</v>
      </c>
      <c r="B5" s="1501" t="s">
        <v>3034</v>
      </c>
      <c r="C5" s="1709" t="s">
        <v>3035</v>
      </c>
      <c r="D5" s="1710" t="s">
        <v>3036</v>
      </c>
      <c r="E5" s="1454" t="s">
        <v>3032</v>
      </c>
      <c r="F5" s="1454" t="s">
        <v>3037</v>
      </c>
      <c r="G5" s="1702">
        <v>9675</v>
      </c>
      <c r="H5" s="1703"/>
      <c r="I5" s="1704">
        <v>9675</v>
      </c>
      <c r="J5" s="1703"/>
      <c r="K5" s="1705" t="s">
        <v>3094</v>
      </c>
    </row>
    <row r="6" spans="1:12" ht="17.399999999999999" customHeight="1">
      <c r="A6" s="1434">
        <v>148</v>
      </c>
      <c r="B6" s="1501" t="s">
        <v>3034</v>
      </c>
      <c r="C6" s="1709" t="s">
        <v>3038</v>
      </c>
      <c r="D6" s="1710" t="s">
        <v>3039</v>
      </c>
      <c r="E6" s="1454" t="s">
        <v>3032</v>
      </c>
      <c r="F6" s="1454" t="s">
        <v>3040</v>
      </c>
      <c r="G6" s="1702">
        <v>13798.8</v>
      </c>
      <c r="H6" s="1711"/>
      <c r="I6" s="1702">
        <v>13798.8</v>
      </c>
      <c r="J6" s="1711"/>
      <c r="K6" s="1705" t="s">
        <v>3094</v>
      </c>
    </row>
    <row r="7" spans="1:12" ht="17.399999999999999" customHeight="1">
      <c r="A7" s="1712">
        <v>31</v>
      </c>
      <c r="B7" s="1501" t="s">
        <v>3041</v>
      </c>
      <c r="C7" s="1709" t="s">
        <v>3042</v>
      </c>
      <c r="D7" s="1710" t="s">
        <v>3043</v>
      </c>
      <c r="E7" s="1454" t="s">
        <v>3032</v>
      </c>
      <c r="F7" s="1454" t="s">
        <v>3044</v>
      </c>
      <c r="G7" s="1702">
        <v>16864.8</v>
      </c>
      <c r="H7" s="1711"/>
      <c r="I7" s="1704">
        <v>16864.8</v>
      </c>
      <c r="J7" s="1711"/>
      <c r="K7" s="1705" t="s">
        <v>3094</v>
      </c>
    </row>
    <row r="8" spans="1:12" ht="17.399999999999999" customHeight="1">
      <c r="A8" s="1712">
        <v>33</v>
      </c>
      <c r="B8" s="1501" t="s">
        <v>3034</v>
      </c>
      <c r="C8" s="1709" t="s">
        <v>3045</v>
      </c>
      <c r="D8" s="1710" t="s">
        <v>3046</v>
      </c>
      <c r="E8" s="1454" t="s">
        <v>3032</v>
      </c>
      <c r="F8" s="1454" t="s">
        <v>3047</v>
      </c>
      <c r="G8" s="1702">
        <v>3775.9</v>
      </c>
      <c r="H8" s="1711"/>
      <c r="I8" s="1702">
        <v>3775.9</v>
      </c>
      <c r="J8" s="1711"/>
      <c r="K8" s="1705" t="s">
        <v>3094</v>
      </c>
    </row>
    <row r="9" spans="1:12" ht="17.399999999999999" customHeight="1">
      <c r="A9" s="1712">
        <v>45</v>
      </c>
      <c r="B9" s="1501" t="s">
        <v>3034</v>
      </c>
      <c r="C9" s="1709" t="s">
        <v>3048</v>
      </c>
      <c r="D9" s="1710" t="s">
        <v>3049</v>
      </c>
      <c r="E9" s="1454" t="s">
        <v>3032</v>
      </c>
      <c r="F9" s="1454" t="s">
        <v>3050</v>
      </c>
      <c r="G9" s="1702">
        <v>15109.6</v>
      </c>
      <c r="H9" s="1711"/>
      <c r="I9" s="1702">
        <v>15109.6</v>
      </c>
      <c r="J9" s="1711"/>
      <c r="K9" s="1705" t="s">
        <v>3094</v>
      </c>
    </row>
    <row r="10" spans="1:12" ht="17.399999999999999" customHeight="1">
      <c r="A10" s="1712">
        <v>51</v>
      </c>
      <c r="B10" s="1501" t="s">
        <v>3034</v>
      </c>
      <c r="C10" s="1709" t="s">
        <v>3051</v>
      </c>
      <c r="D10" s="1710" t="s">
        <v>3052</v>
      </c>
      <c r="E10" s="1454" t="s">
        <v>3032</v>
      </c>
      <c r="F10" s="1454" t="s">
        <v>3053</v>
      </c>
      <c r="G10" s="1702">
        <v>6351.2</v>
      </c>
      <c r="H10" s="1711"/>
      <c r="I10" s="1704">
        <v>6351.2</v>
      </c>
      <c r="J10" s="1711"/>
      <c r="K10" s="1705" t="s">
        <v>3094</v>
      </c>
    </row>
    <row r="11" spans="1:12" ht="17.399999999999999" customHeight="1">
      <c r="A11" s="1712">
        <v>55</v>
      </c>
      <c r="B11" s="1501" t="s">
        <v>3034</v>
      </c>
      <c r="C11" s="1709" t="s">
        <v>3054</v>
      </c>
      <c r="D11" s="1710" t="s">
        <v>3052</v>
      </c>
      <c r="E11" s="1454" t="s">
        <v>3032</v>
      </c>
      <c r="F11" s="1454" t="s">
        <v>3055</v>
      </c>
      <c r="G11" s="1702">
        <v>11559.6</v>
      </c>
      <c r="H11" s="1711"/>
      <c r="I11" s="1704">
        <v>10912</v>
      </c>
      <c r="J11" s="1711"/>
      <c r="K11" s="1705">
        <v>647.6</v>
      </c>
    </row>
    <row r="12" spans="1:12" ht="17.399999999999999" customHeight="1">
      <c r="A12" s="1434">
        <v>306</v>
      </c>
      <c r="B12" s="1501" t="s">
        <v>3056</v>
      </c>
      <c r="C12" s="1709" t="s">
        <v>3057</v>
      </c>
      <c r="D12" s="1710" t="s">
        <v>3058</v>
      </c>
      <c r="E12" s="1454" t="s">
        <v>3032</v>
      </c>
      <c r="F12" s="1454" t="s">
        <v>3059</v>
      </c>
      <c r="G12" s="1702">
        <v>13621.7</v>
      </c>
      <c r="H12" s="1711"/>
      <c r="I12" s="1704">
        <v>13513.4</v>
      </c>
      <c r="J12" s="1711"/>
      <c r="K12" s="1705">
        <v>108.3</v>
      </c>
    </row>
    <row r="13" spans="1:12" ht="17.399999999999999" customHeight="1">
      <c r="A13" s="1434">
        <v>324</v>
      </c>
      <c r="B13" s="1501" t="s">
        <v>3034</v>
      </c>
      <c r="C13" s="1709" t="s">
        <v>3060</v>
      </c>
      <c r="D13" s="1710" t="s">
        <v>3047</v>
      </c>
      <c r="E13" s="1454" t="s">
        <v>3032</v>
      </c>
      <c r="F13" s="1454" t="s">
        <v>3061</v>
      </c>
      <c r="G13" s="1702">
        <v>5248.8</v>
      </c>
      <c r="H13" s="1711"/>
      <c r="I13" s="1704">
        <v>1589.9</v>
      </c>
      <c r="J13" s="1711"/>
      <c r="K13" s="1705">
        <v>3658.9</v>
      </c>
    </row>
    <row r="14" spans="1:12" ht="17.399999999999999" customHeight="1">
      <c r="A14" s="1434">
        <v>325</v>
      </c>
      <c r="B14" s="1501" t="s">
        <v>3034</v>
      </c>
      <c r="C14" s="1709" t="s">
        <v>3062</v>
      </c>
      <c r="D14" s="1710" t="s">
        <v>3063</v>
      </c>
      <c r="E14" s="1454" t="s">
        <v>3032</v>
      </c>
      <c r="F14" s="1454" t="s">
        <v>3064</v>
      </c>
      <c r="G14" s="1702">
        <v>12084.1</v>
      </c>
      <c r="H14" s="1711"/>
      <c r="I14" s="1704">
        <v>11043.7</v>
      </c>
      <c r="J14" s="1713"/>
      <c r="K14" s="1705">
        <v>1040.4000000000001</v>
      </c>
    </row>
    <row r="15" spans="1:12" ht="17.399999999999999" customHeight="1">
      <c r="A15" s="1434">
        <v>326</v>
      </c>
      <c r="B15" s="1501" t="s">
        <v>3034</v>
      </c>
      <c r="C15" s="1709" t="s">
        <v>3065</v>
      </c>
      <c r="D15" s="1710" t="s">
        <v>3066</v>
      </c>
      <c r="E15" s="1454" t="s">
        <v>3032</v>
      </c>
      <c r="F15" s="1454" t="s">
        <v>3036</v>
      </c>
      <c r="G15" s="1702">
        <v>15763.5</v>
      </c>
      <c r="H15" s="1711"/>
      <c r="I15" s="1704">
        <v>15763.5</v>
      </c>
      <c r="J15" s="1711"/>
      <c r="K15" s="1705" t="s">
        <v>3094</v>
      </c>
    </row>
    <row r="16" spans="1:12" ht="17.399999999999999" customHeight="1">
      <c r="A16" s="1434">
        <v>334</v>
      </c>
      <c r="B16" s="1501" t="s">
        <v>3034</v>
      </c>
      <c r="C16" s="1709" t="s">
        <v>3067</v>
      </c>
      <c r="D16" s="1710" t="s">
        <v>3068</v>
      </c>
      <c r="E16" s="1454" t="s">
        <v>3032</v>
      </c>
      <c r="F16" s="1454" t="s">
        <v>3069</v>
      </c>
      <c r="G16" s="1702">
        <v>1552.6</v>
      </c>
      <c r="H16" s="1711"/>
      <c r="I16" s="1704">
        <v>1552.6</v>
      </c>
      <c r="J16" s="1711"/>
      <c r="K16" s="1705" t="s">
        <v>3094</v>
      </c>
    </row>
    <row r="17" spans="1:12" ht="17.399999999999999" customHeight="1">
      <c r="A17" s="1434">
        <v>393</v>
      </c>
      <c r="B17" s="1501" t="s">
        <v>3034</v>
      </c>
      <c r="C17" s="1709" t="s">
        <v>3070</v>
      </c>
      <c r="D17" s="1710" t="s">
        <v>3071</v>
      </c>
      <c r="E17" s="1454" t="s">
        <v>3032</v>
      </c>
      <c r="F17" s="1454" t="s">
        <v>3072</v>
      </c>
      <c r="G17" s="1702">
        <v>14971.1</v>
      </c>
      <c r="H17" s="1711"/>
      <c r="I17" s="1704">
        <v>10062.9</v>
      </c>
      <c r="J17" s="1713"/>
      <c r="K17" s="1705">
        <v>4908.2</v>
      </c>
    </row>
    <row r="18" spans="1:12" ht="17.399999999999999" customHeight="1">
      <c r="A18" s="1434">
        <v>394</v>
      </c>
      <c r="B18" s="1501" t="s">
        <v>3034</v>
      </c>
      <c r="C18" s="1709" t="s">
        <v>3073</v>
      </c>
      <c r="D18" s="1710" t="s">
        <v>3071</v>
      </c>
      <c r="E18" s="1454" t="s">
        <v>3032</v>
      </c>
      <c r="F18" s="1454" t="s">
        <v>3074</v>
      </c>
      <c r="G18" s="1702">
        <v>8333.4</v>
      </c>
      <c r="H18" s="1711"/>
      <c r="I18" s="1704">
        <v>7918.6</v>
      </c>
      <c r="J18" s="1711"/>
      <c r="K18" s="1705">
        <v>414.8</v>
      </c>
    </row>
    <row r="19" spans="1:12" ht="17.399999999999999" customHeight="1">
      <c r="A19" s="1434">
        <v>469</v>
      </c>
      <c r="B19" s="1501" t="s">
        <v>3034</v>
      </c>
      <c r="C19" s="1709" t="s">
        <v>3075</v>
      </c>
      <c r="D19" s="1710" t="s">
        <v>3076</v>
      </c>
      <c r="E19" s="1454" t="s">
        <v>3032</v>
      </c>
      <c r="F19" s="1454" t="s">
        <v>3077</v>
      </c>
      <c r="G19" s="1702">
        <v>9270.6</v>
      </c>
      <c r="H19" s="1711"/>
      <c r="I19" s="1704">
        <v>7683.9</v>
      </c>
      <c r="J19" s="1711"/>
      <c r="K19" s="1705">
        <v>1586.7</v>
      </c>
    </row>
    <row r="20" spans="1:12" ht="17.399999999999999" customHeight="1">
      <c r="A20" s="1485">
        <v>474</v>
      </c>
      <c r="B20" s="1501" t="s">
        <v>3034</v>
      </c>
      <c r="C20" s="1709" t="s">
        <v>3078</v>
      </c>
      <c r="D20" s="1710" t="s">
        <v>3079</v>
      </c>
      <c r="E20" s="1454" t="s">
        <v>3032</v>
      </c>
      <c r="F20" s="1454" t="s">
        <v>3036</v>
      </c>
      <c r="G20" s="1702">
        <v>1448.8</v>
      </c>
      <c r="H20" s="1711"/>
      <c r="I20" s="1704">
        <v>1448.8</v>
      </c>
      <c r="J20" s="1711"/>
      <c r="K20" s="1705" t="s">
        <v>3094</v>
      </c>
    </row>
    <row r="21" spans="1:12" ht="17.399999999999999" customHeight="1">
      <c r="A21" s="1434">
        <v>496</v>
      </c>
      <c r="B21" s="1501" t="s">
        <v>3080</v>
      </c>
      <c r="C21" s="1709" t="s">
        <v>3081</v>
      </c>
      <c r="D21" s="1710" t="s">
        <v>3082</v>
      </c>
      <c r="E21" s="1454" t="s">
        <v>3083</v>
      </c>
      <c r="F21" s="1454" t="s">
        <v>3084</v>
      </c>
      <c r="G21" s="1702">
        <v>2021.5</v>
      </c>
      <c r="H21" s="1711"/>
      <c r="I21" s="1704">
        <v>2021.5</v>
      </c>
      <c r="J21" s="1711"/>
      <c r="K21" s="1705" t="s">
        <v>3094</v>
      </c>
    </row>
    <row r="22" spans="1:12" ht="17.399999999999999" customHeight="1" thickBot="1">
      <c r="A22" s="1601">
        <v>497</v>
      </c>
      <c r="B22" s="1505" t="s">
        <v>3080</v>
      </c>
      <c r="C22" s="1714" t="s">
        <v>3085</v>
      </c>
      <c r="D22" s="1715" t="s">
        <v>3086</v>
      </c>
      <c r="E22" s="1716"/>
      <c r="F22" s="1716" t="s">
        <v>3087</v>
      </c>
      <c r="G22" s="1717">
        <v>15464.4</v>
      </c>
      <c r="H22" s="1718"/>
      <c r="I22" s="1719">
        <v>12578.4</v>
      </c>
      <c r="J22" s="1718"/>
      <c r="K22" s="1717">
        <v>2886</v>
      </c>
      <c r="L22" s="1271"/>
    </row>
    <row r="23" spans="1:12" ht="16.8" customHeight="1">
      <c r="A23" s="1236" t="s">
        <v>3088</v>
      </c>
    </row>
    <row r="24" spans="1:12" ht="16.8" customHeight="1">
      <c r="C24" s="1236" t="s">
        <v>3089</v>
      </c>
    </row>
    <row r="25" spans="1:12" ht="16.8" customHeight="1">
      <c r="C25" s="1236" t="s">
        <v>3090</v>
      </c>
    </row>
  </sheetData>
  <mergeCells count="8">
    <mergeCell ref="I2:L2"/>
    <mergeCell ref="I3:J3"/>
    <mergeCell ref="K3:L3"/>
    <mergeCell ref="A2:A3"/>
    <mergeCell ref="B2:B3"/>
    <mergeCell ref="C2:C3"/>
    <mergeCell ref="D2:F3"/>
    <mergeCell ref="G2:H3"/>
  </mergeCells>
  <phoneticPr fontId="4"/>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140</vt:i4>
      </vt:variant>
      <vt:variant>
        <vt:lpstr>名前付き一覧</vt:lpstr>
      </vt:variant>
      <vt:variant>
        <vt:i4>12</vt:i4>
      </vt:variant>
    </vt:vector>
  </HeadingPairs>
  <TitlesOfParts>
    <vt:vector size="152" baseType="lpstr">
      <vt:lpstr>01表紙</vt:lpstr>
      <vt:lpstr>02目次</vt:lpstr>
      <vt:lpstr>04シンボルマーク</vt:lpstr>
      <vt:lpstr>05利用者のために</vt:lpstr>
      <vt:lpstr>07沿革</vt:lpstr>
      <vt:lpstr>08明治以降の合併系図</vt:lpstr>
      <vt:lpstr>10位置と面積</vt:lpstr>
      <vt:lpstr>11地目別面積</vt:lpstr>
      <vt:lpstr>12年次別気象概況</vt:lpstr>
      <vt:lpstr>13降雪積雪量</vt:lpstr>
      <vt:lpstr>14人口の推移</vt:lpstr>
      <vt:lpstr>16年齢３区分別人口の推移</vt:lpstr>
      <vt:lpstr>17地区別人口の推移</vt:lpstr>
      <vt:lpstr>18人口動態</vt:lpstr>
      <vt:lpstr>19出生率の推移</vt:lpstr>
      <vt:lpstr>20年齢（５歳階級）別人口構成</vt:lpstr>
      <vt:lpstr>21国籍別外国人登録者数</vt:lpstr>
      <vt:lpstr>22人口集中地区別人口・面積・人口密度ＤＩＤｓ</vt:lpstr>
      <vt:lpstr>23１５歳以上男女別労働力人口</vt:lpstr>
      <vt:lpstr>24産業分類別就業者数</vt:lpstr>
      <vt:lpstr>25産業別従業上の地位・男女別１５歳以上就業者数</vt:lpstr>
      <vt:lpstr>26職業分類別就業者数</vt:lpstr>
      <vt:lpstr>27世帯人員別一般世帯数及び一般世帯人員</vt:lpstr>
      <vt:lpstr>28世帯の家族類型別一般世帯数・一般世帯人員及び親族人員</vt:lpstr>
      <vt:lpstr>29高齢者の年齢（５区分）、男女別高齢単身者数</vt:lpstr>
      <vt:lpstr>30住居の種類・所有の関係別６５歳以上のいる一般世帯数・人員</vt:lpstr>
      <vt:lpstr>31常住人口・流入流出人口及び昼間人口</vt:lpstr>
      <vt:lpstr>32通勤者市町村別内訳（１５歳以上）</vt:lpstr>
      <vt:lpstr>33通学者市町村別内訳（１５歳以上）</vt:lpstr>
      <vt:lpstr>34議会の開催状況</vt:lpstr>
      <vt:lpstr>35市議会委員会の状況</vt:lpstr>
      <vt:lpstr>36市議会会派別議員数</vt:lpstr>
      <vt:lpstr>37年齢別議員数</vt:lpstr>
      <vt:lpstr>38選挙の執行状況</vt:lpstr>
      <vt:lpstr>39選挙人名簿登録者数等の推移</vt:lpstr>
      <vt:lpstr>40一般会計歳入歳出予算構成比</vt:lpstr>
      <vt:lpstr>41会計別決算の状況</vt:lpstr>
      <vt:lpstr>42市税の収入状況</vt:lpstr>
      <vt:lpstr>43歳入内容別決算状況</vt:lpstr>
      <vt:lpstr>44歳出内容別決算状況</vt:lpstr>
      <vt:lpstr>45目的別市債の状況</vt:lpstr>
      <vt:lpstr>46市税市民負担額の推移</vt:lpstr>
      <vt:lpstr>47地方交付税推移</vt:lpstr>
      <vt:lpstr>48市有財産</vt:lpstr>
      <vt:lpstr>49専業兼業別農家数と農家人口</vt:lpstr>
      <vt:lpstr>50販売農家における主副業別農家数</vt:lpstr>
      <vt:lpstr>52経営耕地面積の推移</vt:lpstr>
      <vt:lpstr>55販売農家における年齢別農家人口</vt:lpstr>
      <vt:lpstr>56販売農家における家畜の頭羽数</vt:lpstr>
      <vt:lpstr>58農地の移動状況</vt:lpstr>
      <vt:lpstr>59林野面積</vt:lpstr>
      <vt:lpstr>60事業所数・従業者数の推移</vt:lpstr>
      <vt:lpstr>61産業大分類別事業所数・産業大分類別従業者数</vt:lpstr>
      <vt:lpstr>62産業中分類別の製造品出荷額等の推移</vt:lpstr>
      <vt:lpstr>63年次別の工場数・従業者数・製造品出荷額等の推移</vt:lpstr>
      <vt:lpstr>65商業の推移</vt:lpstr>
      <vt:lpstr>66産業中分類別年間商品販売額の推移</vt:lpstr>
      <vt:lpstr>67学校総覧</vt:lpstr>
      <vt:lpstr>68幼稚園の状況</vt:lpstr>
      <vt:lpstr>69小学校の状況</vt:lpstr>
      <vt:lpstr>70中学校の状況・義務教育学校の状況</vt:lpstr>
      <vt:lpstr>71中学校進路別卒業者数</vt:lpstr>
      <vt:lpstr>72高等学校進路別卒業者</vt:lpstr>
      <vt:lpstr>73高等学校卒業者の職業分類別就職者数</vt:lpstr>
      <vt:lpstr>74高等学校卒業者の産業大分類別就職者数</vt:lpstr>
      <vt:lpstr>75高等学校卒業者の県内地区別就職者数</vt:lpstr>
      <vt:lpstr>79高等学校卒業者の都道府県別大学進学者数</vt:lpstr>
      <vt:lpstr>80奨学金貸与の状況</vt:lpstr>
      <vt:lpstr>81図書館貸出冊数の推移</vt:lpstr>
      <vt:lpstr>82図書館利用者数</vt:lpstr>
      <vt:lpstr>83図書館の蔵書と利用冊数</vt:lpstr>
      <vt:lpstr>84夏期大学講座の受講者数</vt:lpstr>
      <vt:lpstr>85山岳博物館の観覧状況</vt:lpstr>
      <vt:lpstr>86文化財</vt:lpstr>
      <vt:lpstr>87一般職業紹介の状況</vt:lpstr>
      <vt:lpstr>88雇用保険失業給付の支給状況</vt:lpstr>
      <vt:lpstr>89附属施設の利用状況</vt:lpstr>
      <vt:lpstr>90業種別・主な事故の型別労働災害発生状況</vt:lpstr>
      <vt:lpstr>91保育施設</vt:lpstr>
      <vt:lpstr>92保育園の入園児童の推移</vt:lpstr>
      <vt:lpstr>93市民課窓口事務の処理状況</vt:lpstr>
      <vt:lpstr>94国民健康保険被保険者数ほか</vt:lpstr>
      <vt:lpstr>95福祉医療費特別給付金支給状況</vt:lpstr>
      <vt:lpstr>96高齢者福祉の状況</vt:lpstr>
      <vt:lpstr>97福祉施設の利用状況</vt:lpstr>
      <vt:lpstr>98障がい別身体障がい者数の推移</vt:lpstr>
      <vt:lpstr>99知的障がい者数の推移</vt:lpstr>
      <vt:lpstr>100生活保護費の推移</vt:lpstr>
      <vt:lpstr>101共同募金の状況</vt:lpstr>
      <vt:lpstr>102医療施設数・医療従事者数の推移</vt:lpstr>
      <vt:lpstr>103主な死因別死亡者数の推移</vt:lpstr>
      <vt:lpstr>104市立大町総合病院の利用状況</vt:lpstr>
      <vt:lpstr>105予防接種・検診等の状況</vt:lpstr>
      <vt:lpstr>106ごみ処理の状況</vt:lpstr>
      <vt:lpstr>107し尿処理の状況</vt:lpstr>
      <vt:lpstr>108狂犬病予防法による犬の登録及び注射状況</vt:lpstr>
      <vt:lpstr>109公害苦情処理件数</vt:lpstr>
      <vt:lpstr>110北アルプス広域葬祭場の利用状況</vt:lpstr>
      <vt:lpstr>111主要道路</vt:lpstr>
      <vt:lpstr>112橋梁数</vt:lpstr>
      <vt:lpstr>113主要河川</vt:lpstr>
      <vt:lpstr>114都市計画区域</vt:lpstr>
      <vt:lpstr>115地域地区</vt:lpstr>
      <vt:lpstr>116都市計画用途地域</vt:lpstr>
      <vt:lpstr>117都市計画区域内の用途地域の指定のない区域</vt:lpstr>
      <vt:lpstr>118建築確認申請の状況</vt:lpstr>
      <vt:lpstr>119都市施設</vt:lpstr>
      <vt:lpstr>120水道事業普及状況・公営簡易水道事業普及状況</vt:lpstr>
      <vt:lpstr>121水道事業配水量の推移・公営簡易水道事業配水量の推移</vt:lpstr>
      <vt:lpstr>122水道事業用途別栓数と給水量</vt:lpstr>
      <vt:lpstr>123水道事業水源施設状況・公営簡易水道事業水源施設状況</vt:lpstr>
      <vt:lpstr>124都市ガスの需要状況</vt:lpstr>
      <vt:lpstr>126有線放送の利用状況</vt:lpstr>
      <vt:lpstr>127自動車の保有台数</vt:lpstr>
      <vt:lpstr>128金融機関の預金・貸出残高状況</vt:lpstr>
      <vt:lpstr>129消費者物価指数</vt:lpstr>
      <vt:lpstr>130制度資金の利用状況</vt:lpstr>
      <vt:lpstr>131一人当たりの市民所得</vt:lpstr>
      <vt:lpstr>132産業別市町村内総生産</vt:lpstr>
      <vt:lpstr>133市町村民所得・可処分所得の分配</vt:lpstr>
      <vt:lpstr>134消防施設と人員</vt:lpstr>
      <vt:lpstr>135救急出動及び搬送状況</vt:lpstr>
      <vt:lpstr>136出火原因別の出火件数</vt:lpstr>
      <vt:lpstr>137火災の発生件数・焼失面積と損害額等</vt:lpstr>
      <vt:lpstr>138山岳遭難事故の状況</vt:lpstr>
      <vt:lpstr>139交通違反</vt:lpstr>
      <vt:lpstr>140交通事故</vt:lpstr>
      <vt:lpstr>141刑法犯罪の発生件数と検挙件数</vt:lpstr>
      <vt:lpstr>142民事事件の推移</vt:lpstr>
      <vt:lpstr>143刑事事件の推移</vt:lpstr>
      <vt:lpstr>144家事事件の推移</vt:lpstr>
      <vt:lpstr>145観光客の入込数の推移</vt:lpstr>
      <vt:lpstr>146スキー場観光客の入込数の推移</vt:lpstr>
      <vt:lpstr>147観光地等の概要</vt:lpstr>
      <vt:lpstr>148北アルプスの紹介</vt:lpstr>
      <vt:lpstr>149大町の山岳標高一覧</vt:lpstr>
      <vt:lpstr>150大町市行政組織機構図</vt:lpstr>
      <vt:lpstr>151課等の事務分掌</vt:lpstr>
      <vt:lpstr>153体育施設</vt:lpstr>
      <vt:lpstr>155山岳文化都市宣言</vt:lpstr>
      <vt:lpstr>'08明治以降の合併系図'!Print_Area</vt:lpstr>
      <vt:lpstr>'149大町の山岳標高一覧'!Print_Area</vt:lpstr>
      <vt:lpstr>'150大町市行政組織機構図'!Print_Area</vt:lpstr>
      <vt:lpstr>'153体育施設'!Print_Area</vt:lpstr>
      <vt:lpstr>'17地区別人口の推移'!Print_Area</vt:lpstr>
      <vt:lpstr>'22人口集中地区別人口・面積・人口密度ＤＩＤｓ'!Print_Area</vt:lpstr>
      <vt:lpstr>'48市有財産'!Print_Area</vt:lpstr>
      <vt:lpstr>'38選挙の執行状況'!Print_Titles</vt:lpstr>
      <vt:lpstr>'42市税の収入状況'!Print_Titles</vt:lpstr>
      <vt:lpstr>'71中学校進路別卒業者数'!Print_Titles</vt:lpstr>
      <vt:lpstr>'72高等学校進路別卒業者'!Print_Titles</vt:lpstr>
      <vt:lpstr>'73高等学校卒業者の職業分類別就職者数'!Print_Titles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jp22096</dc:creator>
  <cp:lastModifiedBy>jp22094</cp:lastModifiedBy>
  <cp:lastPrinted>2025-06-30T07:10:07Z</cp:lastPrinted>
  <dcterms:created xsi:type="dcterms:W3CDTF">2015-06-05T18:19:34Z</dcterms:created>
  <dcterms:modified xsi:type="dcterms:W3CDTF">2025-06-30T07:10:29Z</dcterms:modified>
</cp:coreProperties>
</file>